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G:\ДОКУМЕНТЫ\Власть\Минздрав\Нормативные документы\Технологические карты ЦЭККМП\ТК исправленные\ТК посмертные патолого-анатомические исследования\"/>
    </mc:Choice>
  </mc:AlternateContent>
  <bookViews>
    <workbookView xWindow="0" yWindow="0" windowWidth="28800" windowHeight="9900" tabRatio="821"/>
  </bookViews>
  <sheets>
    <sheet name="Итог" sheetId="27" r:id="rId1"/>
    <sheet name="ФОТ основного персонала" sheetId="13" r:id="rId2"/>
    <sheet name="расходные материалы" sheetId="33" r:id="rId3"/>
    <sheet name="амортизация_КСГ" sheetId="34" r:id="rId4"/>
    <sheet name="амортизация_ВМП" sheetId="35" r:id="rId5"/>
    <sheet name="лекарственные препараты" sheetId="23" r:id="rId6"/>
  </sheets>
  <definedNames>
    <definedName name="k_nakl">Итог!$B$34</definedName>
  </definedNames>
  <calcPr calcId="162913"/>
</workbook>
</file>

<file path=xl/calcChain.xml><?xml version="1.0" encoding="utf-8"?>
<calcChain xmlns="http://schemas.openxmlformats.org/spreadsheetml/2006/main">
  <c r="B22" i="27" l="1"/>
  <c r="B20" i="27"/>
  <c r="B16" i="27"/>
  <c r="B11" i="27"/>
  <c r="I12" i="13"/>
  <c r="G12" i="13"/>
  <c r="H12" i="13" s="1"/>
  <c r="J12" i="13" s="1"/>
  <c r="E12" i="13"/>
  <c r="I11" i="13"/>
  <c r="I10" i="13"/>
  <c r="I9" i="13"/>
  <c r="C35" i="13"/>
  <c r="C34" i="13"/>
  <c r="C33" i="13"/>
  <c r="C32" i="13"/>
  <c r="C23" i="13"/>
  <c r="C22" i="13"/>
  <c r="D22" i="13" s="1"/>
  <c r="C21" i="13"/>
  <c r="D21" i="13" s="1"/>
  <c r="C20" i="13"/>
  <c r="D35" i="13" s="1"/>
  <c r="C19" i="13"/>
  <c r="D19" i="13" s="1"/>
  <c r="B29" i="13"/>
  <c r="B28" i="13"/>
  <c r="B27" i="13"/>
  <c r="D23" i="13"/>
  <c r="D34" i="13" l="1"/>
  <c r="D20" i="13"/>
  <c r="D32" i="13"/>
  <c r="D33" i="13"/>
  <c r="J11" i="35"/>
  <c r="K11" i="35" s="1"/>
  <c r="K10" i="35"/>
  <c r="J10" i="35"/>
  <c r="K9" i="35"/>
  <c r="J9" i="35"/>
  <c r="J10" i="34"/>
  <c r="K10" i="34" s="1"/>
  <c r="K9" i="34"/>
  <c r="J9" i="34"/>
  <c r="K8" i="34"/>
  <c r="J8" i="34"/>
  <c r="G19" i="33"/>
  <c r="G18" i="33"/>
  <c r="G17" i="33"/>
  <c r="G16" i="33"/>
  <c r="G15" i="33"/>
  <c r="G14" i="33"/>
  <c r="G13" i="33"/>
  <c r="G12" i="33"/>
  <c r="G11" i="33"/>
  <c r="G10" i="33"/>
  <c r="E11" i="13"/>
  <c r="G11" i="13" s="1"/>
  <c r="H11" i="13" s="1"/>
  <c r="J11" i="13" s="1"/>
  <c r="E10" i="13"/>
  <c r="G10" i="13" s="1"/>
  <c r="H10" i="13" s="1"/>
  <c r="J10" i="13" s="1"/>
  <c r="E9" i="13" l="1"/>
  <c r="C4" i="35" l="1"/>
  <c r="C3" i="35"/>
  <c r="C3" i="34"/>
  <c r="C2" i="34"/>
  <c r="C4" i="33"/>
  <c r="C5" i="33"/>
  <c r="B3" i="13"/>
  <c r="B2" i="13"/>
  <c r="B27" i="27" l="1"/>
  <c r="J4" i="23" l="1"/>
  <c r="J8" i="35"/>
  <c r="J7" i="34"/>
  <c r="K7" i="34" s="1"/>
  <c r="K6" i="34" s="1"/>
  <c r="B28" i="27" s="1"/>
  <c r="K8" i="35" l="1"/>
  <c r="K7" i="35" s="1"/>
  <c r="B29" i="27" s="1"/>
  <c r="G9" i="33"/>
  <c r="G8" i="33" s="1"/>
  <c r="B26" i="27" s="1"/>
  <c r="G9" i="13" l="1"/>
  <c r="H9" i="13" s="1"/>
  <c r="J5" i="23" l="1"/>
  <c r="J9" i="13" l="1"/>
  <c r="J13" i="13" l="1"/>
  <c r="J14" i="13" s="1"/>
  <c r="J15" i="13" s="1"/>
  <c r="J16" i="13" s="1"/>
  <c r="B25" i="27" s="1"/>
  <c r="B32" i="27" l="1"/>
  <c r="B33" i="27" s="1"/>
  <c r="B35" i="27" s="1"/>
  <c r="B36" i="27" l="1"/>
  <c r="B37" i="27"/>
</calcChain>
</file>

<file path=xl/sharedStrings.xml><?xml version="1.0" encoding="utf-8"?>
<sst xmlns="http://schemas.openxmlformats.org/spreadsheetml/2006/main" count="209" uniqueCount="152">
  <si>
    <t>Стоимость, руб.</t>
  </si>
  <si>
    <t>№ п/п</t>
  </si>
  <si>
    <t>Наименование оборудования</t>
  </si>
  <si>
    <t>Срок эксплуатации, лет</t>
  </si>
  <si>
    <t>Путь введения</t>
  </si>
  <si>
    <t>Тип лекарственной формы по агрегатному состоянию на момент потребления</t>
  </si>
  <si>
    <t>Тип лекарственной формы по виду высвобождения</t>
  </si>
  <si>
    <t>Единица измерения</t>
  </si>
  <si>
    <t>МНН лекарственных препаратов</t>
  </si>
  <si>
    <t>ЖНВЛП</t>
  </si>
  <si>
    <t>Усредненный показатель частоты предоставления</t>
  </si>
  <si>
    <t>Примечание</t>
  </si>
  <si>
    <t>Формула</t>
  </si>
  <si>
    <t>Параметр</t>
  </si>
  <si>
    <t>Значение</t>
  </si>
  <si>
    <t>Продолжительность рабочего дня, часы</t>
  </si>
  <si>
    <t>Итого заработная плата</t>
  </si>
  <si>
    <t>Единица действующего веществава</t>
  </si>
  <si>
    <t>Стоимость за единицу измерения (руб.)</t>
  </si>
  <si>
    <t>Количество дней работы единицы оборудования в год</t>
  </si>
  <si>
    <t xml:space="preserve">Количество минут работы единицы оборудования в день </t>
  </si>
  <si>
    <t xml:space="preserve">Амортизация на одну услугу/операцию, руб. </t>
  </si>
  <si>
    <t>Итого:</t>
  </si>
  <si>
    <t>Итого</t>
  </si>
  <si>
    <t>Таблица 1</t>
  </si>
  <si>
    <t>Таблица 3</t>
  </si>
  <si>
    <t>Затраты на лекарственные препараты, руб.</t>
  </si>
  <si>
    <t>Итого затраты на оплату труда с начислениями основного персонала, руб. гр.9 = гр.2хгр.7хгр.8</t>
  </si>
  <si>
    <t xml:space="preserve">Наименование услуги </t>
  </si>
  <si>
    <t>Краткое описание услуги (технология выполнения, отражающая действия медицинского персонала и их последовательность)</t>
  </si>
  <si>
    <t xml:space="preserve">Код услуги </t>
  </si>
  <si>
    <t>Наименование отделения (кабинета) для оказания медицинской услуги</t>
  </si>
  <si>
    <t>Расчет затрат на оплату труда</t>
  </si>
  <si>
    <t>Наименование медицинского изделия</t>
  </si>
  <si>
    <t>Среднемесячная заработная плата за счет средств ОМС, руб.</t>
  </si>
  <si>
    <t>Количество персонала, принимающего участие в оказании услуги</t>
  </si>
  <si>
    <t xml:space="preserve">Затраты на оплату труда основного персонала (руб.) в 1 минуту на 1 должность гр.7 = </t>
  </si>
  <si>
    <t>Продолжительность дополнительного отпуска, рабочие дни</t>
  </si>
  <si>
    <t>Среднегодовой фонд рабочего времени, (мин.) гр.</t>
  </si>
  <si>
    <t>Должность специалиста</t>
  </si>
  <si>
    <t>Таблица 5</t>
  </si>
  <si>
    <t>КД ЗП</t>
  </si>
  <si>
    <t>К совместительства</t>
  </si>
  <si>
    <t>К начислений на заработную плату</t>
  </si>
  <si>
    <t xml:space="preserve">Итого с КД ЗП </t>
  </si>
  <si>
    <t>Итого с К совместительства</t>
  </si>
  <si>
    <t>Норма времени на оказание услуги, мин.</t>
  </si>
  <si>
    <t>Итого затраты на заработную плату с начислениями персонала, принимающего непосредственное участие в оказании услуги (основного персонала), руб.</t>
  </si>
  <si>
    <t>Автоматически заполняется с листа "ФОТ основного персонала"</t>
  </si>
  <si>
    <t>Автоматически заполняется с листа "Расходные материалы"</t>
  </si>
  <si>
    <t>Норма расхода на услугу (в ед.измерения) *</t>
  </si>
  <si>
    <t>Расчет затрат на расходные материалы, используемые при оказании услуги</t>
  </si>
  <si>
    <t>Затраты на медицинские расходные материалы, руб.</t>
  </si>
  <si>
    <t>Норма расхода на услугу единицы действующего вещества *</t>
  </si>
  <si>
    <t>Стоимость лекарственных препаратов на услугу (руб.)</t>
  </si>
  <si>
    <t>Расчет затрат на лекарственные препараты, используемые при оказании услуги</t>
  </si>
  <si>
    <t>Автоматически заполняется с листа "Лекарственные препараты"</t>
  </si>
  <si>
    <t>Затраты на оплату труда с начислениями персонала, принимающего непосредственное участие в оказании услуги (основного персонала), руб.</t>
  </si>
  <si>
    <t>Среднее количество услуг в день на одной единице медицинского оборудования</t>
  </si>
  <si>
    <t>Доля затрат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 от ФОТ основного персонала</t>
  </si>
  <si>
    <t>Указывается десятичная дробь</t>
  </si>
  <si>
    <t>Доля на накладные расходы от всего ФОТ</t>
  </si>
  <si>
    <t>1. Общая характеристика медицинской услуги</t>
  </si>
  <si>
    <t>2. Персонал, непосредственно участвующий в выполнении медицинской услуги</t>
  </si>
  <si>
    <t>3.1. Прямые затраты</t>
  </si>
  <si>
    <t>3.2. Косвенные затраты</t>
  </si>
  <si>
    <t>Затраты на оплату труда с начислениями персонала, не принимающего непосредственное участие в оказании медицинской услуги (АУП, прочий общебольничный и вспомогательный персонал и др.), руб</t>
  </si>
  <si>
    <t>Затраты на оплату труда с начислениями всего, руб.</t>
  </si>
  <si>
    <t>Накладные расходы, руб.</t>
  </si>
  <si>
    <t>Расчет затрат на оказание медицинской услуги</t>
  </si>
  <si>
    <t xml:space="preserve">* - при указании многоразовых расходных материалов, используемых при оказании услуги следует учитывать долю использования матзапаса на услугу, которую необходимо отразить в столбце "норма расхода на услугу". Напимер: 0,01 </t>
  </si>
  <si>
    <t>Таблица 2</t>
  </si>
  <si>
    <t>Средняя цена, руб.</t>
  </si>
  <si>
    <t>Имплантируемые медицинские изделия (указывается отметка "да"  для имплантируемых медицинских изделий)</t>
  </si>
  <si>
    <t>Средняя стоимость за единицу измерения, руб.</t>
  </si>
  <si>
    <t>Частота использования</t>
  </si>
  <si>
    <t>Амортизация оборудования стоимостью от 100 тыс.руб. (для расчета ВМП)</t>
  </si>
  <si>
    <t>Автоматически заполняется с листа "Амортизация_ВМП"</t>
  </si>
  <si>
    <t>Итого стоимость медицинской услуги (ВМП), руб.</t>
  </si>
  <si>
    <t>Метка для наркоза</t>
  </si>
  <si>
    <t>п/п</t>
  </si>
  <si>
    <t>Амортизация оборудования стоимостью от 100 тыс.руб. до 1 млн. руб., непосредственно используемого при оказании услуги (для КСГ)</t>
  </si>
  <si>
    <t>Средняя продолжительность работы оборудования, мин.</t>
  </si>
  <si>
    <t xml:space="preserve">Амортизация оборудования стоимостью от 100 тыс. руб., непосредственно используемого при оказании услуги </t>
  </si>
  <si>
    <t>Амортизация оборудования стоимостью от 100 тыс.руб., до 1 млн.руб. (для КСГ)</t>
  </si>
  <si>
    <t>Автоматически заполняется с листа "Амортизация_КСГ"</t>
  </si>
  <si>
    <t>Итого стоимость медицинской услуги (КСГ), руб.</t>
  </si>
  <si>
    <t>Количество используемого оборудования</t>
  </si>
  <si>
    <t>Норма рабочего времени в 2024 году за вычетом основного и дополнительного отпуска, рабочие дни</t>
  </si>
  <si>
    <t>врач-патологоанатом</t>
  </si>
  <si>
    <t>Фельдшер-лаборант/медицинский лабораторный техник/медицинский технолог/лаборант</t>
  </si>
  <si>
    <t>Санитар (санитарка)</t>
  </si>
  <si>
    <t>Контейнеры для дезинфекции биологических отходов (5-15л) 1 на 50000 иссл</t>
  </si>
  <si>
    <t>штука</t>
  </si>
  <si>
    <t/>
  </si>
  <si>
    <t>Емкость-контейнер для дезраствора 5-12 л (1 на 50000 иссл)</t>
  </si>
  <si>
    <t>Пакет для утилизации отходов класса Б (1 на 300 исследований)</t>
  </si>
  <si>
    <t>Дезинфицирующее  средство</t>
  </si>
  <si>
    <t>литр</t>
  </si>
  <si>
    <t>Контейнер для биоматериала, винтовое горло, 60 мл.</t>
  </si>
  <si>
    <t>Халат медицинский (одноразовый)</t>
  </si>
  <si>
    <t>Медицинская шапочка (одноразовая)</t>
  </si>
  <si>
    <t>_x000D_
Перчатки «Кольчужные»</t>
  </si>
  <si>
    <t>шт</t>
  </si>
  <si>
    <t>Секционный набор (патологоанатомический, без ящика)</t>
  </si>
  <si>
    <t>Спирт этиловый медицинский 95 %</t>
  </si>
  <si>
    <t>миллилитр</t>
  </si>
  <si>
    <t>Маска одноразовая (1 на 270 исследований)</t>
  </si>
  <si>
    <t>Светильник бестеневой медицинский</t>
  </si>
  <si>
    <t>Весы электронные медицинские ВЭМ-150</t>
  </si>
  <si>
    <t>Стол патологоанатомический</t>
  </si>
  <si>
    <t>Холодильная камера секционная/ Камера холодильная для морга КСБ2/2П</t>
  </si>
  <si>
    <t>A08.30.019.002</t>
  </si>
  <si>
    <t>Патолого-анатомическое вскрытие первой категории сложности</t>
  </si>
  <si>
    <t>Патолого-анатомическое бюро (отделение)</t>
  </si>
  <si>
    <t>0,23</t>
  </si>
  <si>
    <t>Специальность в соответствии с номенклатурой специальностей специалистов, имеющих высшее медицинское и фармацевтическое образование</t>
  </si>
  <si>
    <t>Патологическая анатомия</t>
  </si>
  <si>
    <t>Указывается в соответствии приказами Минздрава России от 07.10.2015 N 700н, от 09.12.2019 996н</t>
  </si>
  <si>
    <t>Должность специалиста с высшим профессиональным (медицинским) образованием (врач)/Должности специалистов с высшим профессиональным (немедицинским) образованием</t>
  </si>
  <si>
    <t>Указывается в соответствии приказом Минздрава России от 02.05.2023 N 205н</t>
  </si>
  <si>
    <t>Норма времени на оказание услуги специалиста с высшим профессиональным (медицинским) образованием (врач), мин.</t>
  </si>
  <si>
    <t>Реквизиты НПА, регламентирующего нормы времени на исследование/экпертное мнение (указываются все варианты значений):</t>
  </si>
  <si>
    <t>1. Нормативно-правовой акт: Приказ Минздрава России от 24.03.2016 № 179н (прил. 2 к Правилам)</t>
  </si>
  <si>
    <t>2. Экспертное мнение 1: Патолого-анатомические исследования. Нормативные документы / Под ред. Франка Г. А., Малькова П. Г. - М.: Практическая медицина, 2017. - С.58</t>
  </si>
  <si>
    <t>Специальность в соответствии с номенклатурой специальностей специалистов со средним медицинским образованием</t>
  </si>
  <si>
    <t>Лабораторная диагностика</t>
  </si>
  <si>
    <t>Указывается в соответствии приказами Минздравсоцразвития России от 16.04.2008 N 176н, 30 марта 2010 г. N 199н</t>
  </si>
  <si>
    <t>Должности специалистов со средним профессиональным (медицинским) образованием (средний медицинский персонал)</t>
  </si>
  <si>
    <t>Норма времени на оказание услуги специалиста со средним профессиональным (медицинским) образованием (средний медицинский персонал), мин.</t>
  </si>
  <si>
    <t>Иные должности медицинских работников (младший медицинский персонал)</t>
  </si>
  <si>
    <t>Норма времени на оказание услуги младшим медицинским персоналом, мин.</t>
  </si>
  <si>
    <t>1. Эксперт</t>
  </si>
  <si>
    <t>A08.30.019.002 ПА вскрытие 1_й категории сложности</t>
  </si>
  <si>
    <t>Первая категория сложности</t>
  </si>
  <si>
    <t>Вторая категория сложности</t>
  </si>
  <si>
    <t>Третья категория сложности</t>
  </si>
  <si>
    <t>Четвертая категория сложности</t>
  </si>
  <si>
    <t>пятая категория сложности</t>
  </si>
  <si>
    <t>Рабочие дни в году</t>
  </si>
  <si>
    <t>Продолжительность раб дня (час)</t>
  </si>
  <si>
    <t>Продолжительность раб дня (мин)</t>
  </si>
  <si>
    <t>Всего раб часов в году</t>
  </si>
  <si>
    <t>Всего раб мин в году</t>
  </si>
  <si>
    <t>Расчет времени для первой категории сложности</t>
  </si>
  <si>
    <t>фельдшер-лаборант</t>
  </si>
  <si>
    <t>санитар</t>
  </si>
  <si>
    <t>медицинский регистратор</t>
  </si>
  <si>
    <t>Медицинский регистратор</t>
  </si>
  <si>
    <t>Норма времени на оказание услуги медицинским регистратором, мин.</t>
  </si>
  <si>
    <t>В соответствии с Порядком проведения патолого-анатомических вскрытий, утвержденных приказом Минздрава России от 29.04.2025 №261н</t>
  </si>
  <si>
    <t xml:space="preserve">Услуга включает: приемку, регистрацию, изучение медицинской документации, собственно патолого-анатомическое вскрытие, макроскопическое изучение, вырезку (без лабораторной обработки и микроскопического изучения), оформление протокола, архивирование первичных материалов.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</si>
</sst>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-;\-* #,##0.00_-;_-* &quot;-&quot;??_-;_-@_-"/>
    <numFmt numFmtId="165" formatCode="0.0%"/>
    <numFmt numFmtId="166" formatCode="#,##0.00_ ;\-#,##0.00\ "/>
    <numFmt numFmtId="167" formatCode="0.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Calibri"/>
      <family val="2"/>
      <scheme val="minor"/>
    </font>
    <font>
      <b/>
      <sz val="11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7" fillId="0" borderId="0"/>
    <xf numFmtId="0" fontId="5" fillId="0" borderId="0"/>
    <xf numFmtId="0" fontId="6" fillId="0" borderId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8" fillId="0" borderId="0" xfId="0" applyFont="1"/>
    <xf numFmtId="0" fontId="8" fillId="0" borderId="0" xfId="0" applyFont="1" applyFill="1"/>
    <xf numFmtId="164" fontId="9" fillId="0" borderId="0" xfId="7" applyFont="1" applyAlignment="1">
      <alignment horizontal="right"/>
    </xf>
    <xf numFmtId="164" fontId="8" fillId="0" borderId="0" xfId="7" applyFont="1"/>
    <xf numFmtId="0" fontId="10" fillId="0" borderId="0" xfId="0" applyFont="1"/>
    <xf numFmtId="0" fontId="8" fillId="0" borderId="1" xfId="0" applyFont="1" applyFill="1" applyBorder="1" applyAlignment="1">
      <alignment wrapText="1"/>
    </xf>
    <xf numFmtId="0" fontId="8" fillId="0" borderId="0" xfId="0" applyFont="1" applyFill="1" applyBorder="1"/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Fill="1" applyBorder="1"/>
    <xf numFmtId="0" fontId="15" fillId="0" borderId="0" xfId="0" applyFont="1"/>
    <xf numFmtId="0" fontId="13" fillId="0" borderId="0" xfId="0" applyFont="1"/>
    <xf numFmtId="164" fontId="13" fillId="0" borderId="0" xfId="7" applyFont="1"/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12" fillId="0" borderId="0" xfId="0" applyFont="1" applyAlignment="1">
      <alignment horizontal="left"/>
    </xf>
    <xf numFmtId="0" fontId="16" fillId="0" borderId="0" xfId="0" applyFont="1"/>
    <xf numFmtId="0" fontId="8" fillId="0" borderId="1" xfId="0" applyFont="1" applyFill="1" applyBorder="1" applyAlignment="1">
      <alignment horizontal="left"/>
    </xf>
    <xf numFmtId="165" fontId="8" fillId="0" borderId="1" xfId="6" applyNumberFormat="1" applyFont="1" applyFill="1" applyBorder="1" applyAlignment="1">
      <alignment horizontal="center"/>
    </xf>
    <xf numFmtId="164" fontId="2" fillId="0" borderId="1" xfId="7" applyFont="1" applyFill="1" applyBorder="1"/>
    <xf numFmtId="0" fontId="2" fillId="0" borderId="1" xfId="0" applyFont="1" applyFill="1" applyBorder="1"/>
    <xf numFmtId="0" fontId="8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7" applyFont="1"/>
    <xf numFmtId="0" fontId="3" fillId="3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164" fontId="2" fillId="0" borderId="4" xfId="7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right"/>
    </xf>
    <xf numFmtId="4" fontId="8" fillId="0" borderId="0" xfId="0" applyNumberFormat="1" applyFont="1" applyFill="1" applyBorder="1"/>
    <xf numFmtId="0" fontId="3" fillId="3" borderId="1" xfId="0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164" fontId="20" fillId="7" borderId="1" xfId="7" applyFont="1" applyFill="1" applyBorder="1" applyAlignment="1">
      <alignment horizontal="left" vertical="center"/>
    </xf>
    <xf numFmtId="0" fontId="20" fillId="5" borderId="17" xfId="0" applyFont="1" applyFill="1" applyBorder="1" applyAlignment="1">
      <alignment horizontal="left" vertical="center"/>
    </xf>
    <xf numFmtId="0" fontId="20" fillId="5" borderId="17" xfId="0" applyFont="1" applyFill="1" applyBorder="1" applyAlignment="1">
      <alignment horizontal="left" vertical="center" wrapText="1"/>
    </xf>
    <xf numFmtId="0" fontId="20" fillId="7" borderId="17" xfId="0" applyFont="1" applyFill="1" applyBorder="1" applyAlignment="1">
      <alignment horizontal="left" vertical="center" wrapText="1"/>
    </xf>
    <xf numFmtId="0" fontId="20" fillId="7" borderId="2" xfId="0" applyFont="1" applyFill="1" applyBorder="1" applyAlignment="1">
      <alignment horizontal="left" vertical="center" wrapText="1"/>
    </xf>
    <xf numFmtId="0" fontId="20" fillId="5" borderId="18" xfId="0" applyFont="1" applyFill="1" applyBorder="1" applyAlignment="1">
      <alignment horizontal="left" vertical="center" wrapText="1"/>
    </xf>
    <xf numFmtId="0" fontId="20" fillId="5" borderId="19" xfId="0" applyFont="1" applyFill="1" applyBorder="1" applyAlignment="1">
      <alignment horizontal="left" vertical="center"/>
    </xf>
    <xf numFmtId="0" fontId="20" fillId="5" borderId="20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0" fillId="4" borderId="4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 wrapText="1"/>
    </xf>
    <xf numFmtId="0" fontId="19" fillId="7" borderId="17" xfId="0" applyFont="1" applyFill="1" applyBorder="1" applyAlignment="1">
      <alignment horizontal="left" vertical="center"/>
    </xf>
    <xf numFmtId="164" fontId="19" fillId="7" borderId="1" xfId="7" applyFont="1" applyFill="1" applyBorder="1" applyAlignment="1">
      <alignment horizontal="left" vertical="center"/>
    </xf>
    <xf numFmtId="0" fontId="19" fillId="7" borderId="2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vertical="center"/>
    </xf>
    <xf numFmtId="164" fontId="17" fillId="7" borderId="10" xfId="7" applyFont="1" applyFill="1" applyBorder="1" applyAlignment="1">
      <alignment horizontal="right" vertical="center"/>
    </xf>
    <xf numFmtId="0" fontId="17" fillId="7" borderId="18" xfId="0" applyFont="1" applyFill="1" applyBorder="1" applyAlignment="1">
      <alignment horizontal="left" vertical="center" wrapText="1"/>
    </xf>
    <xf numFmtId="0" fontId="17" fillId="7" borderId="15" xfId="0" applyFont="1" applyFill="1" applyBorder="1" applyAlignment="1">
      <alignment vertical="center"/>
    </xf>
    <xf numFmtId="0" fontId="20" fillId="5" borderId="10" xfId="0" applyFont="1" applyFill="1" applyBorder="1" applyAlignment="1">
      <alignment horizontal="left" vertical="center"/>
    </xf>
    <xf numFmtId="0" fontId="20" fillId="4" borderId="19" xfId="0" applyFont="1" applyFill="1" applyBorder="1" applyAlignment="1">
      <alignment horizontal="left" vertical="top" wrapText="1"/>
    </xf>
    <xf numFmtId="0" fontId="19" fillId="0" borderId="13" xfId="0" applyFont="1" applyFill="1" applyBorder="1" applyAlignment="1">
      <alignment horizontal="left" vertical="center" wrapText="1"/>
    </xf>
    <xf numFmtId="0" fontId="22" fillId="7" borderId="19" xfId="0" applyFont="1" applyFill="1" applyBorder="1" applyAlignment="1">
      <alignment horizontal="left" vertical="center" wrapText="1"/>
    </xf>
    <xf numFmtId="0" fontId="22" fillId="7" borderId="4" xfId="0" applyFont="1" applyFill="1" applyBorder="1" applyAlignment="1">
      <alignment horizontal="left" vertical="center"/>
    </xf>
    <xf numFmtId="0" fontId="22" fillId="7" borderId="20" xfId="0" applyFont="1" applyFill="1" applyBorder="1" applyAlignment="1">
      <alignment horizontal="left" vertical="center" wrapText="1"/>
    </xf>
    <xf numFmtId="164" fontId="20" fillId="7" borderId="1" xfId="7" applyFont="1" applyFill="1" applyBorder="1" applyAlignment="1">
      <alignment horizontal="right" vertical="center"/>
    </xf>
    <xf numFmtId="0" fontId="20" fillId="5" borderId="4" xfId="0" applyFont="1" applyFill="1" applyBorder="1" applyAlignment="1">
      <alignment horizontal="center" vertical="center"/>
    </xf>
    <xf numFmtId="164" fontId="20" fillId="7" borderId="10" xfId="7" applyFont="1" applyFill="1" applyBorder="1" applyAlignment="1">
      <alignment horizontal="left" vertical="center"/>
    </xf>
    <xf numFmtId="0" fontId="20" fillId="7" borderId="15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2" fillId="0" borderId="0" xfId="0" applyFont="1" applyFill="1"/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left" vertical="center" wrapText="1"/>
    </xf>
    <xf numFmtId="164" fontId="22" fillId="7" borderId="10" xfId="7" applyFont="1" applyFill="1" applyBorder="1" applyAlignment="1">
      <alignment horizontal="right" vertical="center"/>
    </xf>
    <xf numFmtId="0" fontId="22" fillId="7" borderId="2" xfId="0" applyFont="1" applyFill="1" applyBorder="1" applyAlignment="1">
      <alignment vertical="center"/>
    </xf>
    <xf numFmtId="0" fontId="19" fillId="7" borderId="8" xfId="0" applyFont="1" applyFill="1" applyBorder="1" applyAlignment="1">
      <alignment horizontal="left" vertical="center"/>
    </xf>
    <xf numFmtId="164" fontId="19" fillId="7" borderId="21" xfId="7" applyFont="1" applyFill="1" applyBorder="1" applyAlignment="1">
      <alignment horizontal="right" vertical="center"/>
    </xf>
    <xf numFmtId="0" fontId="19" fillId="7" borderId="22" xfId="0" applyFont="1" applyFill="1" applyBorder="1" applyAlignment="1">
      <alignment horizontal="right" vertical="center"/>
    </xf>
    <xf numFmtId="0" fontId="20" fillId="7" borderId="11" xfId="0" applyFont="1" applyFill="1" applyBorder="1" applyAlignment="1">
      <alignment horizontal="left" vertical="center"/>
    </xf>
    <xf numFmtId="0" fontId="19" fillId="7" borderId="23" xfId="0" applyFont="1" applyFill="1" applyBorder="1" applyAlignment="1">
      <alignment horizontal="left" vertical="center"/>
    </xf>
    <xf numFmtId="43" fontId="19" fillId="7" borderId="14" xfId="0" applyNumberFormat="1" applyFont="1" applyFill="1" applyBorder="1" applyAlignment="1">
      <alignment horizontal="left" vertical="center"/>
    </xf>
    <xf numFmtId="0" fontId="20" fillId="5" borderId="15" xfId="0" applyFont="1" applyFill="1" applyBorder="1" applyAlignment="1">
      <alignment horizontal="left" vertical="center" wrapText="1"/>
    </xf>
    <xf numFmtId="0" fontId="17" fillId="7" borderId="17" xfId="0" applyFont="1" applyFill="1" applyBorder="1" applyAlignment="1">
      <alignment horizontal="left" vertical="center" wrapText="1"/>
    </xf>
    <xf numFmtId="164" fontId="17" fillId="7" borderId="1" xfId="7" applyFont="1" applyFill="1" applyBorder="1" applyAlignment="1">
      <alignment horizontal="right" vertical="center"/>
    </xf>
    <xf numFmtId="0" fontId="3" fillId="3" borderId="24" xfId="0" applyFont="1" applyFill="1" applyBorder="1" applyAlignment="1">
      <alignment horizontal="center" vertical="center" wrapText="1"/>
    </xf>
    <xf numFmtId="4" fontId="3" fillId="4" borderId="25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4" borderId="12" xfId="0" applyFont="1" applyFill="1" applyBorder="1"/>
    <xf numFmtId="0" fontId="8" fillId="0" borderId="4" xfId="0" applyFont="1" applyBorder="1" applyAlignment="1">
      <alignment wrapText="1"/>
    </xf>
    <xf numFmtId="164" fontId="3" fillId="3" borderId="1" xfId="7" applyFont="1" applyFill="1" applyBorder="1" applyAlignment="1">
      <alignment horizontal="center" vertical="center" wrapText="1"/>
    </xf>
    <xf numFmtId="4" fontId="2" fillId="0" borderId="1" xfId="7" applyNumberFormat="1" applyFont="1" applyFill="1" applyBorder="1"/>
    <xf numFmtId="164" fontId="18" fillId="3" borderId="1" xfId="7" applyFont="1" applyFill="1" applyBorder="1" applyAlignment="1">
      <alignment horizontal="center" vertical="center" wrapText="1"/>
    </xf>
    <xf numFmtId="166" fontId="8" fillId="0" borderId="1" xfId="0" applyNumberFormat="1" applyFont="1" applyFill="1" applyBorder="1"/>
    <xf numFmtId="0" fontId="11" fillId="0" borderId="0" xfId="0" applyFont="1" applyAlignment="1">
      <alignment horizontal="center" vertical="center"/>
    </xf>
    <xf numFmtId="0" fontId="23" fillId="0" borderId="0" xfId="0" applyFont="1"/>
    <xf numFmtId="167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3" fillId="0" borderId="0" xfId="0" applyFont="1" applyFill="1"/>
    <xf numFmtId="164" fontId="3" fillId="8" borderId="4" xfId="7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164" fontId="3" fillId="3" borderId="10" xfId="7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3" borderId="10" xfId="0" applyFont="1" applyFill="1" applyBorder="1" applyAlignment="1">
      <alignment horizontal="left" vertical="top" wrapText="1"/>
    </xf>
    <xf numFmtId="9" fontId="2" fillId="0" borderId="1" xfId="6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/>
    </xf>
    <xf numFmtId="0" fontId="0" fillId="0" borderId="4" xfId="0" applyFont="1" applyBorder="1"/>
    <xf numFmtId="0" fontId="8" fillId="0" borderId="4" xfId="0" applyFont="1" applyFill="1" applyBorder="1" applyAlignment="1">
      <alignment wrapText="1"/>
    </xf>
    <xf numFmtId="0" fontId="24" fillId="0" borderId="0" xfId="0" applyFont="1"/>
    <xf numFmtId="166" fontId="13" fillId="4" borderId="28" xfId="0" applyNumberFormat="1" applyFont="1" applyFill="1" applyBorder="1"/>
    <xf numFmtId="0" fontId="21" fillId="0" borderId="1" xfId="0" applyFont="1" applyBorder="1"/>
    <xf numFmtId="0" fontId="8" fillId="3" borderId="1" xfId="0" applyFont="1" applyFill="1" applyBorder="1" applyAlignment="1">
      <alignment horizontal="center" vertical="center"/>
    </xf>
    <xf numFmtId="0" fontId="15" fillId="0" borderId="0" xfId="0" applyFont="1" applyBorder="1"/>
    <xf numFmtId="4" fontId="15" fillId="10" borderId="0" xfId="0" applyNumberFormat="1" applyFont="1" applyFill="1" applyBorder="1" applyAlignment="1">
      <alignment horizontal="center"/>
    </xf>
    <xf numFmtId="4" fontId="15" fillId="0" borderId="0" xfId="0" applyNumberFormat="1" applyFont="1" applyBorder="1" applyAlignment="1">
      <alignment horizontal="center"/>
    </xf>
    <xf numFmtId="2" fontId="15" fillId="0" borderId="0" xfId="0" applyNumberFormat="1" applyFont="1" applyBorder="1" applyAlignment="1">
      <alignment horizontal="center"/>
    </xf>
    <xf numFmtId="4" fontId="15" fillId="10" borderId="0" xfId="0" applyNumberFormat="1" applyFont="1" applyFill="1" applyAlignment="1">
      <alignment horizontal="center"/>
    </xf>
    <xf numFmtId="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/>
    <xf numFmtId="2" fontId="15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7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1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8" fillId="0" borderId="1" xfId="7" applyNumberFormat="1" applyFont="1" applyBorder="1" applyAlignment="1">
      <alignment horizontal="center" vertical="center"/>
    </xf>
    <xf numFmtId="0" fontId="13" fillId="6" borderId="1" xfId="0" applyNumberFormat="1" applyFont="1" applyFill="1" applyBorder="1" applyAlignment="1">
      <alignment horizontal="center" vertical="center"/>
    </xf>
    <xf numFmtId="0" fontId="3" fillId="9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4" fontId="15" fillId="10" borderId="1" xfId="0" applyNumberFormat="1" applyFont="1" applyFill="1" applyBorder="1" applyAlignment="1">
      <alignment horizontal="center" vertical="center"/>
    </xf>
    <xf numFmtId="0" fontId="26" fillId="4" borderId="20" xfId="0" applyFont="1" applyFill="1" applyBorder="1" applyAlignment="1">
      <alignment horizontal="left" vertical="center" wrapText="1"/>
    </xf>
    <xf numFmtId="0" fontId="26" fillId="4" borderId="18" xfId="0" applyFont="1" applyFill="1" applyBorder="1" applyAlignment="1">
      <alignment horizontal="left" vertical="top" wrapText="1"/>
    </xf>
    <xf numFmtId="0" fontId="26" fillId="4" borderId="31" xfId="0" applyFont="1" applyFill="1" applyBorder="1" applyAlignment="1">
      <alignment horizontal="left" vertical="top" wrapText="1"/>
    </xf>
    <xf numFmtId="4" fontId="26" fillId="4" borderId="10" xfId="0" applyNumberFormat="1" applyFont="1" applyFill="1" applyBorder="1" applyAlignment="1">
      <alignment horizontal="center" vertical="center"/>
    </xf>
    <xf numFmtId="0" fontId="26" fillId="4" borderId="32" xfId="0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left" vertical="top" wrapText="1"/>
    </xf>
    <xf numFmtId="0" fontId="20" fillId="4" borderId="31" xfId="0" applyFont="1" applyFill="1" applyBorder="1" applyAlignment="1">
      <alignment horizontal="left" vertical="top" wrapText="1"/>
    </xf>
    <xf numFmtId="0" fontId="14" fillId="0" borderId="16" xfId="0" applyFont="1" applyBorder="1" applyAlignment="1">
      <alignment horizontal="center" vertical="center"/>
    </xf>
    <xf numFmtId="0" fontId="20" fillId="4" borderId="18" xfId="0" applyFont="1" applyFill="1" applyBorder="1" applyAlignment="1">
      <alignment horizontal="left" vertical="center" wrapText="1"/>
    </xf>
    <xf numFmtId="0" fontId="20" fillId="4" borderId="29" xfId="0" applyFont="1" applyFill="1" applyBorder="1" applyAlignment="1">
      <alignment horizontal="left" vertical="center" wrapText="1"/>
    </xf>
    <xf numFmtId="0" fontId="20" fillId="4" borderId="19" xfId="0" applyFont="1" applyFill="1" applyBorder="1" applyAlignment="1">
      <alignment horizontal="left" vertical="center" wrapText="1"/>
    </xf>
    <xf numFmtId="0" fontId="26" fillId="4" borderId="30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left" vertical="center" wrapText="1"/>
    </xf>
    <xf numFmtId="0" fontId="20" fillId="4" borderId="30" xfId="0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/>
    </xf>
    <xf numFmtId="4" fontId="3" fillId="4" borderId="3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3" fillId="4" borderId="26" xfId="7" applyFont="1" applyFill="1" applyBorder="1" applyAlignment="1">
      <alignment horizontal="right"/>
    </xf>
    <xf numFmtId="164" fontId="3" fillId="4" borderId="0" xfId="7" applyFont="1" applyFill="1" applyBorder="1" applyAlignment="1">
      <alignment horizontal="right"/>
    </xf>
    <xf numFmtId="164" fontId="3" fillId="4" borderId="27" xfId="7" applyFont="1" applyFill="1" applyBorder="1" applyAlignment="1">
      <alignment horizontal="right"/>
    </xf>
    <xf numFmtId="0" fontId="15" fillId="0" borderId="1" xfId="0" applyFont="1" applyBorder="1" applyAlignment="1">
      <alignment horizontal="right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" xfId="7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10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1" xfId="7" applyNumberFormat="1" applyFont="1" applyBorder="1" applyAlignment="1">
      <alignment horizontal="center" vertical="center"/>
    </xf>
    <xf numFmtId="164" fontId="15" fillId="0" borderId="0" xfId="7" applyFont="1"/>
    <xf numFmtId="0" fontId="26" fillId="5" borderId="1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left" vertical="center" wrapText="1"/>
    </xf>
  </cellXfs>
  <cellStyles count="11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3 2 2" xfId="9"/>
    <cellStyle name="Обычный 3 3" xfId="8"/>
    <cellStyle name="Обычный 5" xfId="5"/>
    <cellStyle name="Обычный 5 2" xfId="10"/>
    <cellStyle name="Процентный" xfId="6" builtinId="5"/>
    <cellStyle name="Финансовый" xfId="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37"/>
  <sheetViews>
    <sheetView tabSelected="1" workbookViewId="0">
      <selection activeCell="B6" sqref="B6"/>
    </sheetView>
  </sheetViews>
  <sheetFormatPr defaultRowHeight="15" x14ac:dyDescent="0.25"/>
  <cols>
    <col min="1" max="1" width="69" style="43" customWidth="1"/>
    <col min="2" max="2" width="44" style="43" customWidth="1"/>
    <col min="3" max="3" width="67.7109375" style="43" customWidth="1"/>
    <col min="4" max="7" width="9.140625" style="43"/>
    <col min="8" max="8" width="12" style="43" customWidth="1"/>
    <col min="9" max="16384" width="9.140625" style="43"/>
  </cols>
  <sheetData>
    <row r="1" spans="1:3" ht="19.5" thickBot="1" x14ac:dyDescent="0.3">
      <c r="A1" s="153" t="s">
        <v>69</v>
      </c>
      <c r="B1" s="153"/>
      <c r="C1" s="153"/>
    </row>
    <row r="2" spans="1:3" ht="15.75" thickBot="1" x14ac:dyDescent="0.3">
      <c r="A2" s="55" t="s">
        <v>13</v>
      </c>
      <c r="B2" s="56" t="s">
        <v>14</v>
      </c>
      <c r="C2" s="57" t="s">
        <v>11</v>
      </c>
    </row>
    <row r="3" spans="1:3" ht="15.75" thickBot="1" x14ac:dyDescent="0.3">
      <c r="A3" s="52" t="s">
        <v>62</v>
      </c>
      <c r="B3" s="53"/>
      <c r="C3" s="54"/>
    </row>
    <row r="4" spans="1:3" x14ac:dyDescent="0.25">
      <c r="A4" s="50" t="s">
        <v>30</v>
      </c>
      <c r="B4" s="74" t="s">
        <v>112</v>
      </c>
      <c r="C4" s="51"/>
    </row>
    <row r="5" spans="1:3" ht="28.5" x14ac:dyDescent="0.25">
      <c r="A5" s="45" t="s">
        <v>28</v>
      </c>
      <c r="B5" s="77" t="s">
        <v>113</v>
      </c>
      <c r="C5" s="77" t="s">
        <v>133</v>
      </c>
    </row>
    <row r="6" spans="1:3" ht="112.5" customHeight="1" x14ac:dyDescent="0.25">
      <c r="A6" s="46" t="s">
        <v>29</v>
      </c>
      <c r="B6" s="190" t="s">
        <v>151</v>
      </c>
      <c r="C6" s="191" t="s">
        <v>150</v>
      </c>
    </row>
    <row r="7" spans="1:3" ht="15.75" thickBot="1" x14ac:dyDescent="0.3">
      <c r="A7" s="49" t="s">
        <v>31</v>
      </c>
      <c r="B7" s="67" t="s">
        <v>114</v>
      </c>
      <c r="C7" s="92"/>
    </row>
    <row r="8" spans="1:3" ht="29.25" thickBot="1" x14ac:dyDescent="0.3">
      <c r="A8" s="69" t="s">
        <v>63</v>
      </c>
      <c r="B8" s="53"/>
      <c r="C8" s="54"/>
    </row>
    <row r="9" spans="1:3" ht="45" x14ac:dyDescent="0.25">
      <c r="A9" s="68" t="s">
        <v>116</v>
      </c>
      <c r="B9" s="58" t="s">
        <v>117</v>
      </c>
      <c r="C9" s="59" t="s">
        <v>118</v>
      </c>
    </row>
    <row r="10" spans="1:3" ht="45" x14ac:dyDescent="0.25">
      <c r="A10" s="68" t="s">
        <v>119</v>
      </c>
      <c r="B10" s="58" t="s">
        <v>89</v>
      </c>
      <c r="C10" s="59" t="s">
        <v>120</v>
      </c>
    </row>
    <row r="11" spans="1:3" ht="30" x14ac:dyDescent="0.25">
      <c r="A11" s="154" t="s">
        <v>121</v>
      </c>
      <c r="B11" s="149">
        <f>'ФОТ основного персонала'!I9</f>
        <v>450</v>
      </c>
      <c r="C11" s="59" t="s">
        <v>122</v>
      </c>
    </row>
    <row r="12" spans="1:3" ht="30" x14ac:dyDescent="0.25">
      <c r="A12" s="155"/>
      <c r="B12" s="157"/>
      <c r="C12" s="59" t="s">
        <v>123</v>
      </c>
    </row>
    <row r="13" spans="1:3" ht="45" x14ac:dyDescent="0.25">
      <c r="A13" s="156"/>
      <c r="B13" s="158"/>
      <c r="C13" s="59" t="s">
        <v>124</v>
      </c>
    </row>
    <row r="14" spans="1:3" ht="30" x14ac:dyDescent="0.25">
      <c r="A14" s="68" t="s">
        <v>125</v>
      </c>
      <c r="B14" s="58" t="s">
        <v>126</v>
      </c>
      <c r="C14" s="59" t="s">
        <v>127</v>
      </c>
    </row>
    <row r="15" spans="1:3" ht="30" x14ac:dyDescent="0.25">
      <c r="A15" s="68" t="s">
        <v>128</v>
      </c>
      <c r="B15" s="58" t="s">
        <v>90</v>
      </c>
      <c r="C15" s="59" t="s">
        <v>120</v>
      </c>
    </row>
    <row r="16" spans="1:3" ht="30" customHeight="1" x14ac:dyDescent="0.25">
      <c r="A16" s="159" t="s">
        <v>129</v>
      </c>
      <c r="B16" s="149">
        <f>'ФОТ основного персонала'!I10</f>
        <v>450</v>
      </c>
      <c r="C16" s="59" t="s">
        <v>122</v>
      </c>
    </row>
    <row r="17" spans="1:3" ht="30" x14ac:dyDescent="0.25">
      <c r="A17" s="160"/>
      <c r="B17" s="157"/>
      <c r="C17" s="59" t="s">
        <v>123</v>
      </c>
    </row>
    <row r="18" spans="1:3" ht="45" x14ac:dyDescent="0.25">
      <c r="A18" s="161"/>
      <c r="B18" s="158"/>
      <c r="C18" s="59" t="s">
        <v>124</v>
      </c>
    </row>
    <row r="19" spans="1:3" ht="30" x14ac:dyDescent="0.25">
      <c r="A19" s="68" t="s">
        <v>130</v>
      </c>
      <c r="B19" s="58" t="s">
        <v>91</v>
      </c>
      <c r="C19" s="59" t="s">
        <v>120</v>
      </c>
    </row>
    <row r="20" spans="1:3" ht="30" x14ac:dyDescent="0.25">
      <c r="A20" s="151" t="s">
        <v>131</v>
      </c>
      <c r="B20" s="149">
        <f>'ФОТ основного персонала'!I11</f>
        <v>337.5</v>
      </c>
      <c r="C20" s="59" t="s">
        <v>122</v>
      </c>
    </row>
    <row r="21" spans="1:3" ht="15.75" thickBot="1" x14ac:dyDescent="0.3">
      <c r="A21" s="152"/>
      <c r="B21" s="150"/>
      <c r="C21" s="59" t="s">
        <v>132</v>
      </c>
    </row>
    <row r="22" spans="1:3" ht="30" x14ac:dyDescent="0.25">
      <c r="A22" s="147" t="s">
        <v>149</v>
      </c>
      <c r="B22" s="149">
        <f>'ФОТ основного персонала'!I12</f>
        <v>112.5</v>
      </c>
      <c r="C22" s="146" t="s">
        <v>122</v>
      </c>
    </row>
    <row r="23" spans="1:3" ht="15.75" thickBot="1" x14ac:dyDescent="0.3">
      <c r="A23" s="148"/>
      <c r="B23" s="150"/>
      <c r="C23" s="146" t="s">
        <v>132</v>
      </c>
    </row>
    <row r="24" spans="1:3" x14ac:dyDescent="0.25">
      <c r="A24" s="70" t="s">
        <v>64</v>
      </c>
      <c r="B24" s="71"/>
      <c r="C24" s="72"/>
    </row>
    <row r="25" spans="1:3" ht="30" x14ac:dyDescent="0.25">
      <c r="A25" s="47" t="s">
        <v>57</v>
      </c>
      <c r="B25" s="73">
        <f>'ФОТ основного персонала'!$J$16</f>
        <v>11546.619148217585</v>
      </c>
      <c r="C25" s="48" t="s">
        <v>48</v>
      </c>
    </row>
    <row r="26" spans="1:3" x14ac:dyDescent="0.25">
      <c r="A26" s="47" t="s">
        <v>52</v>
      </c>
      <c r="B26" s="44">
        <f>'расходные материалы'!G8</f>
        <v>2164.2636057428208</v>
      </c>
      <c r="C26" s="48" t="s">
        <v>49</v>
      </c>
    </row>
    <row r="27" spans="1:3" x14ac:dyDescent="0.25">
      <c r="A27" s="47" t="s">
        <v>26</v>
      </c>
      <c r="B27" s="44">
        <f>'лекарственные препараты'!J4</f>
        <v>0</v>
      </c>
      <c r="C27" s="48" t="s">
        <v>56</v>
      </c>
    </row>
    <row r="28" spans="1:3" ht="30" x14ac:dyDescent="0.25">
      <c r="A28" s="93" t="s">
        <v>84</v>
      </c>
      <c r="B28" s="44">
        <f>амортизация_КСГ!K6</f>
        <v>31.691914223310288</v>
      </c>
      <c r="C28" s="48" t="s">
        <v>85</v>
      </c>
    </row>
    <row r="29" spans="1:3" ht="30" x14ac:dyDescent="0.25">
      <c r="A29" s="93" t="s">
        <v>76</v>
      </c>
      <c r="B29" s="44">
        <f>амортизация_ВМП!K7</f>
        <v>31.820221568343936</v>
      </c>
      <c r="C29" s="48" t="s">
        <v>77</v>
      </c>
    </row>
    <row r="30" spans="1:3" x14ac:dyDescent="0.25">
      <c r="A30" s="60" t="s">
        <v>65</v>
      </c>
      <c r="B30" s="61"/>
      <c r="C30" s="62"/>
    </row>
    <row r="31" spans="1:3" ht="60" x14ac:dyDescent="0.25">
      <c r="A31" s="47" t="s">
        <v>59</v>
      </c>
      <c r="B31" s="94">
        <v>0.25</v>
      </c>
      <c r="C31" s="63" t="s">
        <v>60</v>
      </c>
    </row>
    <row r="32" spans="1:3" ht="45" x14ac:dyDescent="0.25">
      <c r="A32" s="47" t="s">
        <v>66</v>
      </c>
      <c r="B32" s="64">
        <f>B25*B31</f>
        <v>2886.6547870543964</v>
      </c>
      <c r="C32" s="63" t="s">
        <v>12</v>
      </c>
    </row>
    <row r="33" spans="1:3" x14ac:dyDescent="0.25">
      <c r="A33" s="83" t="s">
        <v>67</v>
      </c>
      <c r="B33" s="84">
        <f>B25+B32</f>
        <v>14433.273935271982</v>
      </c>
      <c r="C33" s="85" t="s">
        <v>12</v>
      </c>
    </row>
    <row r="34" spans="1:3" x14ac:dyDescent="0.25">
      <c r="A34" s="65" t="s">
        <v>61</v>
      </c>
      <c r="B34" s="64" t="s">
        <v>115</v>
      </c>
      <c r="C34" s="66" t="s">
        <v>60</v>
      </c>
    </row>
    <row r="35" spans="1:3" ht="15.75" thickBot="1" x14ac:dyDescent="0.3">
      <c r="A35" s="65" t="s">
        <v>68</v>
      </c>
      <c r="B35" s="75">
        <f>B33*B34</f>
        <v>3319.653005112556</v>
      </c>
      <c r="C35" s="76" t="s">
        <v>12</v>
      </c>
    </row>
    <row r="36" spans="1:3" ht="15.75" thickBot="1" x14ac:dyDescent="0.3">
      <c r="A36" s="86" t="s">
        <v>86</v>
      </c>
      <c r="B36" s="87">
        <f>B25+B26+B27+B28+B32+B35</f>
        <v>19948.882460350669</v>
      </c>
      <c r="C36" s="88"/>
    </row>
    <row r="37" spans="1:3" ht="15.75" thickBot="1" x14ac:dyDescent="0.3">
      <c r="A37" s="90" t="s">
        <v>78</v>
      </c>
      <c r="B37" s="91">
        <f>B25+B26+B27+B29+B32+B35</f>
        <v>19949.010767695701</v>
      </c>
      <c r="C37" s="89"/>
    </row>
  </sheetData>
  <mergeCells count="9">
    <mergeCell ref="A22:A23"/>
    <mergeCell ref="B22:B23"/>
    <mergeCell ref="A20:A21"/>
    <mergeCell ref="B20:B21"/>
    <mergeCell ref="A1:C1"/>
    <mergeCell ref="A11:A13"/>
    <mergeCell ref="B11:B13"/>
    <mergeCell ref="A16:A18"/>
    <mergeCell ref="B16:B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M35"/>
  <sheetViews>
    <sheetView topLeftCell="A7" workbookViewId="0">
      <selection activeCell="E26" sqref="E26"/>
    </sheetView>
  </sheetViews>
  <sheetFormatPr defaultRowHeight="12.75" x14ac:dyDescent="0.2"/>
  <cols>
    <col min="1" max="1" width="32.28515625" style="1" customWidth="1"/>
    <col min="2" max="2" width="13.42578125" style="1" customWidth="1"/>
    <col min="3" max="3" width="15.140625" style="1" customWidth="1"/>
    <col min="4" max="4" width="13.140625" style="1" customWidth="1"/>
    <col min="5" max="5" width="14.140625" style="1" customWidth="1"/>
    <col min="6" max="6" width="11.42578125" style="1" customWidth="1"/>
    <col min="7" max="7" width="14.140625" style="1" customWidth="1"/>
    <col min="8" max="8" width="14.42578125" style="1" customWidth="1"/>
    <col min="9" max="9" width="12.85546875" style="1" customWidth="1"/>
    <col min="10" max="10" width="15.5703125" style="1" customWidth="1"/>
    <col min="11" max="12" width="13.85546875" style="1" customWidth="1"/>
    <col min="13" max="13" width="14" style="4" customWidth="1"/>
    <col min="14" max="16384" width="9.140625" style="1"/>
  </cols>
  <sheetData>
    <row r="1" spans="1:13" ht="23.25" customHeight="1" x14ac:dyDescent="0.2">
      <c r="A1" s="162" t="s">
        <v>32</v>
      </c>
      <c r="B1" s="162"/>
      <c r="C1" s="162"/>
      <c r="D1" s="162"/>
      <c r="E1" s="162"/>
      <c r="F1" s="162"/>
      <c r="G1" s="162"/>
      <c r="H1" s="162"/>
      <c r="I1" s="162"/>
      <c r="J1" s="162"/>
      <c r="K1" s="2"/>
      <c r="L1" s="2"/>
      <c r="M1" s="3"/>
    </row>
    <row r="2" spans="1:13" ht="17.25" customHeight="1" x14ac:dyDescent="0.2">
      <c r="A2" s="34" t="s">
        <v>30</v>
      </c>
      <c r="B2" s="163" t="str">
        <f>Итог!B4</f>
        <v>A08.30.019.002</v>
      </c>
      <c r="C2" s="163"/>
      <c r="D2" s="38"/>
      <c r="E2" s="38"/>
    </row>
    <row r="3" spans="1:13" ht="17.25" customHeight="1" x14ac:dyDescent="0.2">
      <c r="A3" s="37" t="s">
        <v>28</v>
      </c>
      <c r="B3" s="164" t="str">
        <f>Итог!B5</f>
        <v>Патолого-анатомическое вскрытие первой категории сложности</v>
      </c>
      <c r="C3" s="165"/>
      <c r="D3" s="165"/>
      <c r="E3" s="165"/>
      <c r="F3" s="165"/>
      <c r="G3" s="165"/>
      <c r="H3" s="165"/>
      <c r="I3" s="165"/>
      <c r="J3" s="166"/>
    </row>
    <row r="4" spans="1:13" ht="17.25" customHeight="1" x14ac:dyDescent="0.2">
      <c r="A4" s="37" t="s">
        <v>41</v>
      </c>
      <c r="B4" s="124">
        <v>1.1454</v>
      </c>
      <c r="C4" s="39"/>
      <c r="D4" s="39"/>
      <c r="E4" s="39"/>
      <c r="F4" s="39"/>
      <c r="G4" s="39"/>
      <c r="H4" s="39"/>
      <c r="I4" s="39"/>
      <c r="J4" s="39"/>
    </row>
    <row r="5" spans="1:13" ht="17.25" customHeight="1" x14ac:dyDescent="0.2">
      <c r="A5" s="37" t="s">
        <v>42</v>
      </c>
      <c r="B5" s="124">
        <v>1.2</v>
      </c>
      <c r="C5" s="39"/>
      <c r="D5" s="39"/>
      <c r="E5" s="39"/>
      <c r="F5" s="39"/>
      <c r="G5" s="39"/>
      <c r="H5" s="39"/>
      <c r="I5" s="39"/>
      <c r="J5" s="39"/>
    </row>
    <row r="6" spans="1:13" ht="18" customHeight="1" x14ac:dyDescent="0.2">
      <c r="A6" s="34" t="s">
        <v>43</v>
      </c>
      <c r="B6" s="124">
        <v>1.302</v>
      </c>
      <c r="J6" s="34" t="s">
        <v>24</v>
      </c>
    </row>
    <row r="7" spans="1:13" ht="18" customHeight="1" x14ac:dyDescent="0.2">
      <c r="C7" s="10"/>
    </row>
    <row r="8" spans="1:13" s="11" customFormat="1" ht="96" customHeight="1" x14ac:dyDescent="0.2">
      <c r="A8" s="13" t="s">
        <v>39</v>
      </c>
      <c r="B8" s="35" t="s">
        <v>35</v>
      </c>
      <c r="C8" s="35" t="s">
        <v>34</v>
      </c>
      <c r="D8" s="35" t="s">
        <v>37</v>
      </c>
      <c r="E8" s="35" t="s">
        <v>88</v>
      </c>
      <c r="F8" s="14" t="s">
        <v>15</v>
      </c>
      <c r="G8" s="14" t="s">
        <v>38</v>
      </c>
      <c r="H8" s="14" t="s">
        <v>36</v>
      </c>
      <c r="I8" s="14" t="s">
        <v>46</v>
      </c>
      <c r="J8" s="14" t="s">
        <v>27</v>
      </c>
      <c r="M8" s="12"/>
    </row>
    <row r="9" spans="1:13" x14ac:dyDescent="0.2">
      <c r="A9" s="8" t="s">
        <v>89</v>
      </c>
      <c r="B9" s="134">
        <v>1</v>
      </c>
      <c r="C9" s="135">
        <v>103847.44</v>
      </c>
      <c r="D9" s="136">
        <v>0</v>
      </c>
      <c r="E9" s="136">
        <f>248-20-D9</f>
        <v>228</v>
      </c>
      <c r="F9" s="137">
        <v>6</v>
      </c>
      <c r="G9" s="138">
        <f>E9*F9*60</f>
        <v>82080</v>
      </c>
      <c r="H9" s="139">
        <f>C9*12/G9</f>
        <v>15.182374269005848</v>
      </c>
      <c r="I9" s="145">
        <f>C32</f>
        <v>450</v>
      </c>
      <c r="J9" s="140">
        <f>B9*H9*I9</f>
        <v>6832.0684210526315</v>
      </c>
    </row>
    <row r="10" spans="1:13" ht="38.25" x14ac:dyDescent="0.2">
      <c r="A10" s="8" t="s">
        <v>90</v>
      </c>
      <c r="B10" s="134">
        <v>1</v>
      </c>
      <c r="C10" s="135">
        <v>51923.72</v>
      </c>
      <c r="D10" s="136">
        <v>0</v>
      </c>
      <c r="E10" s="136">
        <f>248-20-D10</f>
        <v>228</v>
      </c>
      <c r="F10" s="137">
        <v>6</v>
      </c>
      <c r="G10" s="138">
        <f>E10*F10*60</f>
        <v>82080</v>
      </c>
      <c r="H10" s="139">
        <f>C10*12/G10</f>
        <v>7.591187134502924</v>
      </c>
      <c r="I10" s="145">
        <f t="shared" ref="I10:I11" si="0">C33</f>
        <v>450</v>
      </c>
      <c r="J10" s="140">
        <f>B10*H10*I10</f>
        <v>3416.0342105263157</v>
      </c>
    </row>
    <row r="11" spans="1:13" x14ac:dyDescent="0.2">
      <c r="A11" s="8" t="s">
        <v>91</v>
      </c>
      <c r="B11" s="134">
        <v>1</v>
      </c>
      <c r="C11" s="135">
        <v>39343.599999999999</v>
      </c>
      <c r="D11" s="136">
        <v>0</v>
      </c>
      <c r="E11" s="136">
        <f>248-20-D11</f>
        <v>228</v>
      </c>
      <c r="F11" s="137">
        <v>6</v>
      </c>
      <c r="G11" s="138">
        <f>E11*F11*60</f>
        <v>82080</v>
      </c>
      <c r="H11" s="139">
        <f>C11*12/G11</f>
        <v>5.7519883040935671</v>
      </c>
      <c r="I11" s="145">
        <f t="shared" si="0"/>
        <v>337.5</v>
      </c>
      <c r="J11" s="140">
        <f>B11*H11*I11</f>
        <v>1941.296052631579</v>
      </c>
    </row>
    <row r="12" spans="1:13" s="10" customFormat="1" x14ac:dyDescent="0.2">
      <c r="A12" s="181" t="s">
        <v>148</v>
      </c>
      <c r="B12" s="182">
        <v>1</v>
      </c>
      <c r="C12" s="183">
        <v>39343.599999999999</v>
      </c>
      <c r="D12" s="184">
        <v>0</v>
      </c>
      <c r="E12" s="184">
        <f>248-20-D12</f>
        <v>228</v>
      </c>
      <c r="F12" s="185">
        <v>6</v>
      </c>
      <c r="G12" s="186">
        <f>E12*F12*60</f>
        <v>82080</v>
      </c>
      <c r="H12" s="187">
        <f>C12*12/G12</f>
        <v>5.7519883040935671</v>
      </c>
      <c r="I12" s="145">
        <f t="shared" ref="I12" si="1">C35</f>
        <v>112.5</v>
      </c>
      <c r="J12" s="188">
        <f>B12*H12*I12</f>
        <v>647.09868421052624</v>
      </c>
      <c r="M12" s="189"/>
    </row>
    <row r="13" spans="1:13" s="11" customFormat="1" x14ac:dyDescent="0.2">
      <c r="A13" s="36" t="s">
        <v>16</v>
      </c>
      <c r="B13" s="141"/>
      <c r="C13" s="141"/>
      <c r="D13" s="141"/>
      <c r="E13" s="141"/>
      <c r="F13" s="141"/>
      <c r="G13" s="141"/>
      <c r="H13" s="141"/>
      <c r="I13" s="142"/>
      <c r="J13" s="141">
        <f>SUM(J9:J11)</f>
        <v>12189.398684210526</v>
      </c>
      <c r="M13" s="12"/>
    </row>
    <row r="14" spans="1:13" s="11" customFormat="1" x14ac:dyDescent="0.2">
      <c r="A14" s="40" t="s">
        <v>44</v>
      </c>
      <c r="B14" s="141"/>
      <c r="C14" s="141"/>
      <c r="D14" s="141"/>
      <c r="E14" s="141"/>
      <c r="F14" s="141"/>
      <c r="G14" s="141"/>
      <c r="H14" s="141"/>
      <c r="I14" s="141"/>
      <c r="J14" s="141">
        <f>J13/B4</f>
        <v>10642.045297896391</v>
      </c>
      <c r="M14" s="12"/>
    </row>
    <row r="15" spans="1:13" s="11" customFormat="1" x14ac:dyDescent="0.2">
      <c r="A15" s="40" t="s">
        <v>45</v>
      </c>
      <c r="B15" s="141"/>
      <c r="C15" s="141"/>
      <c r="D15" s="141"/>
      <c r="E15" s="141"/>
      <c r="F15" s="141"/>
      <c r="G15" s="141"/>
      <c r="H15" s="141"/>
      <c r="I15" s="141"/>
      <c r="J15" s="141">
        <f>J14/B5</f>
        <v>8868.3710815803261</v>
      </c>
      <c r="M15" s="12"/>
    </row>
    <row r="16" spans="1:13" s="11" customFormat="1" ht="63.75" x14ac:dyDescent="0.2">
      <c r="A16" s="42" t="s">
        <v>47</v>
      </c>
      <c r="B16" s="143"/>
      <c r="C16" s="143"/>
      <c r="D16" s="143"/>
      <c r="E16" s="143"/>
      <c r="F16" s="143"/>
      <c r="G16" s="143"/>
      <c r="H16" s="143"/>
      <c r="I16" s="143"/>
      <c r="J16" s="144">
        <f>J15*B6</f>
        <v>11546.619148217585</v>
      </c>
      <c r="M16" s="12"/>
    </row>
    <row r="17" spans="1:10" ht="15.7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41"/>
    </row>
    <row r="18" spans="1:10" ht="48.75" customHeight="1" x14ac:dyDescent="0.2"/>
    <row r="19" spans="1:10" ht="15.75" customHeight="1" x14ac:dyDescent="0.2">
      <c r="A19" s="125" t="s">
        <v>134</v>
      </c>
      <c r="B19" s="126">
        <v>200</v>
      </c>
      <c r="C19" s="127">
        <f>$B$29/B19</f>
        <v>450</v>
      </c>
      <c r="D19" s="128">
        <f>C19/10</f>
        <v>45</v>
      </c>
      <c r="E19" s="15"/>
      <c r="F19" s="15"/>
      <c r="G19" s="15"/>
      <c r="H19" s="15"/>
      <c r="I19" s="15"/>
      <c r="J19" s="15"/>
    </row>
    <row r="20" spans="1:10" ht="15.75" customHeight="1" x14ac:dyDescent="0.2">
      <c r="A20" s="125" t="s">
        <v>135</v>
      </c>
      <c r="B20" s="126">
        <v>175</v>
      </c>
      <c r="C20" s="127">
        <f t="shared" ref="C20:C23" si="2">$B$29/B20</f>
        <v>514.28571428571433</v>
      </c>
      <c r="D20" s="128">
        <f t="shared" ref="D20:D23" si="3">C20/10</f>
        <v>51.428571428571431</v>
      </c>
      <c r="E20" s="15"/>
      <c r="F20" s="15"/>
      <c r="G20" s="15"/>
      <c r="H20" s="15"/>
      <c r="I20" s="15"/>
      <c r="J20" s="15"/>
    </row>
    <row r="21" spans="1:10" x14ac:dyDescent="0.2">
      <c r="A21" s="125" t="s">
        <v>136</v>
      </c>
      <c r="B21" s="129">
        <v>150</v>
      </c>
      <c r="C21" s="127">
        <f t="shared" si="2"/>
        <v>600</v>
      </c>
      <c r="D21" s="128">
        <f t="shared" si="3"/>
        <v>60</v>
      </c>
    </row>
    <row r="22" spans="1:10" x14ac:dyDescent="0.2">
      <c r="A22" s="125" t="s">
        <v>137</v>
      </c>
      <c r="B22" s="129">
        <v>125</v>
      </c>
      <c r="C22" s="127">
        <f t="shared" si="2"/>
        <v>720</v>
      </c>
      <c r="D22" s="128">
        <f t="shared" si="3"/>
        <v>72</v>
      </c>
    </row>
    <row r="23" spans="1:10" x14ac:dyDescent="0.2">
      <c r="A23" s="125" t="s">
        <v>138</v>
      </c>
      <c r="B23" s="129">
        <v>100</v>
      </c>
      <c r="C23" s="127">
        <f t="shared" si="2"/>
        <v>900</v>
      </c>
      <c r="D23" s="128">
        <f t="shared" si="3"/>
        <v>90</v>
      </c>
    </row>
    <row r="24" spans="1:10" x14ac:dyDescent="0.2">
      <c r="A24" s="10"/>
      <c r="B24" s="130"/>
      <c r="C24" s="130"/>
      <c r="D24" s="131"/>
    </row>
    <row r="25" spans="1:10" x14ac:dyDescent="0.2">
      <c r="A25" s="10" t="s">
        <v>139</v>
      </c>
      <c r="B25" s="130">
        <v>250</v>
      </c>
      <c r="C25" s="130"/>
      <c r="D25" s="131"/>
    </row>
    <row r="26" spans="1:10" x14ac:dyDescent="0.2">
      <c r="A26" s="10" t="s">
        <v>140</v>
      </c>
      <c r="B26" s="130">
        <v>6</v>
      </c>
      <c r="C26" s="130"/>
      <c r="D26" s="131"/>
    </row>
    <row r="27" spans="1:10" x14ac:dyDescent="0.2">
      <c r="A27" s="10" t="s">
        <v>141</v>
      </c>
      <c r="B27" s="130">
        <f>B26*60</f>
        <v>360</v>
      </c>
      <c r="C27" s="130"/>
      <c r="D27" s="131"/>
    </row>
    <row r="28" spans="1:10" x14ac:dyDescent="0.2">
      <c r="A28" s="10" t="s">
        <v>142</v>
      </c>
      <c r="B28" s="130">
        <f>B26*B25</f>
        <v>1500</v>
      </c>
      <c r="C28" s="130"/>
      <c r="D28" s="131"/>
    </row>
    <row r="29" spans="1:10" x14ac:dyDescent="0.2">
      <c r="A29" s="10" t="s">
        <v>143</v>
      </c>
      <c r="B29" s="130">
        <f>B28*60</f>
        <v>90000</v>
      </c>
      <c r="C29" s="130"/>
      <c r="D29" s="131"/>
    </row>
    <row r="30" spans="1:10" x14ac:dyDescent="0.2">
      <c r="A30" s="10"/>
      <c r="B30" s="131"/>
      <c r="C30" s="131"/>
      <c r="D30" s="131"/>
    </row>
    <row r="31" spans="1:10" x14ac:dyDescent="0.2">
      <c r="A31" s="132" t="s">
        <v>144</v>
      </c>
      <c r="B31" s="131"/>
      <c r="C31" s="131"/>
      <c r="D31" s="131"/>
    </row>
    <row r="32" spans="1:10" x14ac:dyDescent="0.2">
      <c r="A32" s="10" t="s">
        <v>89</v>
      </c>
      <c r="B32" s="133">
        <v>1</v>
      </c>
      <c r="C32" s="130">
        <f>$C$19*B32</f>
        <v>450</v>
      </c>
      <c r="D32" s="133">
        <f>C32/10</f>
        <v>45</v>
      </c>
    </row>
    <row r="33" spans="1:4" x14ac:dyDescent="0.2">
      <c r="A33" s="10" t="s">
        <v>145</v>
      </c>
      <c r="B33" s="133">
        <v>1</v>
      </c>
      <c r="C33" s="130">
        <f t="shared" ref="C33:C35" si="4">$C$19*B33</f>
        <v>450</v>
      </c>
      <c r="D33" s="133">
        <f t="shared" ref="D33:D35" si="5">C33/10</f>
        <v>45</v>
      </c>
    </row>
    <row r="34" spans="1:4" x14ac:dyDescent="0.2">
      <c r="A34" s="10" t="s">
        <v>146</v>
      </c>
      <c r="B34" s="133">
        <v>0.75</v>
      </c>
      <c r="C34" s="130">
        <f t="shared" si="4"/>
        <v>337.5</v>
      </c>
      <c r="D34" s="133">
        <f t="shared" si="5"/>
        <v>33.75</v>
      </c>
    </row>
    <row r="35" spans="1:4" x14ac:dyDescent="0.2">
      <c r="A35" s="10" t="s">
        <v>147</v>
      </c>
      <c r="B35" s="133">
        <v>0.25</v>
      </c>
      <c r="C35" s="130">
        <f t="shared" si="4"/>
        <v>112.5</v>
      </c>
      <c r="D35" s="133">
        <f t="shared" si="5"/>
        <v>11.25</v>
      </c>
    </row>
  </sheetData>
  <mergeCells count="3">
    <mergeCell ref="A1:J1"/>
    <mergeCell ref="B2:C2"/>
    <mergeCell ref="B3:J3"/>
  </mergeCells>
  <pageMargins left="0.25" right="0.25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O19"/>
  <sheetViews>
    <sheetView workbookViewId="0">
      <pane ySplit="7" topLeftCell="A8" activePane="bottomLeft" state="frozen"/>
      <selection pane="bottomLeft" activeCell="C6" sqref="C6"/>
    </sheetView>
  </sheetViews>
  <sheetFormatPr defaultRowHeight="12.75" x14ac:dyDescent="0.2"/>
  <cols>
    <col min="1" max="1" width="9.140625" style="23"/>
    <col min="2" max="2" width="29.5703125" style="23" customWidth="1"/>
    <col min="3" max="3" width="37.42578125" style="23" customWidth="1"/>
    <col min="4" max="4" width="41.5703125" style="23" customWidth="1"/>
    <col min="5" max="5" width="21.7109375" style="23" customWidth="1"/>
    <col min="6" max="6" width="10.28515625" style="23" customWidth="1"/>
    <col min="7" max="7" width="12.42578125" style="24" customWidth="1"/>
    <col min="8" max="8" width="34.5703125" style="25" customWidth="1"/>
    <col min="9" max="9" width="16.140625" style="25" customWidth="1"/>
    <col min="10" max="10" width="16.42578125" style="23" customWidth="1"/>
    <col min="11" max="11" width="14.42578125" style="23" customWidth="1"/>
    <col min="12" max="12" width="21.85546875" style="23" customWidth="1"/>
    <col min="13" max="13" width="42" style="23" customWidth="1"/>
    <col min="14" max="14" width="9.140625" style="23"/>
    <col min="15" max="15" width="16" style="23" customWidth="1"/>
    <col min="16" max="16384" width="9.140625" style="23"/>
  </cols>
  <sheetData>
    <row r="1" spans="1:15" ht="15.75" x14ac:dyDescent="0.2">
      <c r="B1" s="167" t="s">
        <v>51</v>
      </c>
      <c r="C1" s="167"/>
      <c r="D1" s="167"/>
      <c r="E1" s="167"/>
      <c r="F1" s="167"/>
      <c r="G1" s="167"/>
      <c r="H1" s="167"/>
      <c r="I1" s="167"/>
      <c r="J1" s="167"/>
      <c r="K1" s="167"/>
      <c r="L1" s="114"/>
      <c r="M1" s="114"/>
      <c r="N1" s="114"/>
      <c r="O1" s="114"/>
    </row>
    <row r="2" spans="1:15" x14ac:dyDescent="0.2">
      <c r="B2" s="168" t="s">
        <v>70</v>
      </c>
      <c r="C2" s="168"/>
      <c r="D2" s="168"/>
      <c r="E2" s="168"/>
      <c r="F2" s="168"/>
      <c r="G2" s="168"/>
      <c r="H2" s="168"/>
      <c r="I2" s="168"/>
      <c r="J2" s="168"/>
      <c r="K2" s="168"/>
      <c r="L2" s="113"/>
      <c r="M2" s="113"/>
      <c r="N2" s="113"/>
      <c r="O2" s="113"/>
    </row>
    <row r="4" spans="1:15" ht="15" x14ac:dyDescent="0.25">
      <c r="B4" s="34" t="s">
        <v>30</v>
      </c>
      <c r="C4" s="115" t="str">
        <f>Итог!B4</f>
        <v>A08.30.019.002</v>
      </c>
      <c r="D4"/>
      <c r="E4"/>
      <c r="F4"/>
      <c r="G4"/>
      <c r="H4"/>
      <c r="I4"/>
      <c r="J4"/>
      <c r="K4"/>
      <c r="L4"/>
      <c r="M4"/>
      <c r="N4"/>
      <c r="O4"/>
    </row>
    <row r="5" spans="1:15" ht="15" x14ac:dyDescent="0.25">
      <c r="B5" s="37" t="s">
        <v>28</v>
      </c>
      <c r="C5" s="169" t="str">
        <f>Итог!B5</f>
        <v>Патолого-анатомическое вскрытие первой категории сложности</v>
      </c>
      <c r="D5" s="169"/>
      <c r="E5" s="169"/>
      <c r="F5" s="169"/>
      <c r="G5" s="169"/>
      <c r="H5" s="169"/>
      <c r="I5" s="169"/>
      <c r="J5"/>
      <c r="K5"/>
      <c r="L5"/>
      <c r="M5"/>
      <c r="N5"/>
      <c r="O5"/>
    </row>
    <row r="6" spans="1:15" x14ac:dyDescent="0.2">
      <c r="D6" s="32"/>
      <c r="E6" s="32"/>
      <c r="F6" s="32"/>
      <c r="G6" s="32"/>
      <c r="H6" s="32"/>
      <c r="I6" s="33" t="s">
        <v>71</v>
      </c>
      <c r="K6" s="33"/>
    </row>
    <row r="7" spans="1:15" ht="51" x14ac:dyDescent="0.2">
      <c r="A7" s="26" t="s">
        <v>80</v>
      </c>
      <c r="B7" s="26" t="s">
        <v>33</v>
      </c>
      <c r="C7" s="26" t="s">
        <v>7</v>
      </c>
      <c r="D7" s="26" t="s">
        <v>10</v>
      </c>
      <c r="E7" s="26" t="s">
        <v>50</v>
      </c>
      <c r="F7" s="26" t="s">
        <v>72</v>
      </c>
      <c r="G7" s="112" t="s">
        <v>0</v>
      </c>
      <c r="H7" s="26" t="s">
        <v>73</v>
      </c>
      <c r="I7" s="26" t="s">
        <v>11</v>
      </c>
      <c r="J7" s="10"/>
      <c r="K7" s="10"/>
      <c r="L7" s="10"/>
      <c r="M7" s="10"/>
    </row>
    <row r="8" spans="1:15" x14ac:dyDescent="0.2">
      <c r="A8" s="82" t="s">
        <v>23</v>
      </c>
      <c r="B8" s="81"/>
      <c r="C8" s="81"/>
      <c r="D8" s="111"/>
      <c r="E8" s="81"/>
      <c r="F8" s="110"/>
      <c r="G8" s="110">
        <f>SUM(G9:G20000)</f>
        <v>2164.2636057428208</v>
      </c>
      <c r="H8" s="81"/>
      <c r="I8" s="81"/>
      <c r="J8" s="10"/>
      <c r="K8" s="10"/>
      <c r="L8" s="10"/>
      <c r="M8" s="10"/>
    </row>
    <row r="9" spans="1:15" s="80" customFormat="1" ht="38.25" x14ac:dyDescent="0.2">
      <c r="A9" s="21">
        <v>1</v>
      </c>
      <c r="B9" s="108" t="s">
        <v>92</v>
      </c>
      <c r="C9" s="107" t="s">
        <v>93</v>
      </c>
      <c r="D9" s="116">
        <v>1</v>
      </c>
      <c r="E9" s="106">
        <v>1.9999999494757503E-5</v>
      </c>
      <c r="F9" s="20">
        <v>1976.9196999999999</v>
      </c>
      <c r="G9" s="101">
        <f t="shared" ref="G9:G19" si="0">IFERROR(F9*E9*D9,0)</f>
        <v>3.9538393001176154E-2</v>
      </c>
      <c r="H9" s="78"/>
      <c r="I9" s="78" t="s">
        <v>94</v>
      </c>
      <c r="J9" s="79"/>
      <c r="K9" s="109"/>
      <c r="L9" s="79"/>
      <c r="M9" s="79"/>
    </row>
    <row r="10" spans="1:15" ht="25.5" x14ac:dyDescent="0.2">
      <c r="A10" s="21">
        <v>2</v>
      </c>
      <c r="B10" s="108" t="s">
        <v>95</v>
      </c>
      <c r="C10" s="107" t="s">
        <v>93</v>
      </c>
      <c r="D10" s="116">
        <v>1</v>
      </c>
      <c r="E10" s="106">
        <v>1.9999999494757503E-5</v>
      </c>
      <c r="F10" s="20">
        <v>2007.8304000000001</v>
      </c>
      <c r="G10" s="101">
        <f t="shared" si="0"/>
        <v>4.0156606985558757E-2</v>
      </c>
      <c r="H10" s="78"/>
      <c r="I10" s="78" t="s">
        <v>94</v>
      </c>
      <c r="K10" s="105"/>
    </row>
    <row r="11" spans="1:15" ht="25.5" x14ac:dyDescent="0.2">
      <c r="A11" s="21">
        <v>3</v>
      </c>
      <c r="B11" s="108" t="s">
        <v>96</v>
      </c>
      <c r="C11" s="107" t="s">
        <v>93</v>
      </c>
      <c r="D11" s="116">
        <v>1</v>
      </c>
      <c r="E11" s="106">
        <v>3.2999999821186066E-3</v>
      </c>
      <c r="F11" s="20">
        <v>4.4889000000000001</v>
      </c>
      <c r="G11" s="101">
        <f t="shared" si="0"/>
        <v>1.4813369919732214E-2</v>
      </c>
      <c r="H11" s="78"/>
      <c r="I11" s="78" t="s">
        <v>94</v>
      </c>
    </row>
    <row r="12" spans="1:15" x14ac:dyDescent="0.2">
      <c r="A12" s="21">
        <v>4</v>
      </c>
      <c r="B12" s="108" t="s">
        <v>97</v>
      </c>
      <c r="C12" s="107" t="s">
        <v>98</v>
      </c>
      <c r="D12" s="116">
        <v>1</v>
      </c>
      <c r="E12" s="106">
        <v>6.0000000521540642E-3</v>
      </c>
      <c r="F12" s="20">
        <v>439.27620000000002</v>
      </c>
      <c r="G12" s="101">
        <f t="shared" si="0"/>
        <v>2.635657222910039</v>
      </c>
      <c r="H12" s="78"/>
      <c r="I12" s="78" t="s">
        <v>94</v>
      </c>
    </row>
    <row r="13" spans="1:15" ht="25.5" x14ac:dyDescent="0.2">
      <c r="A13" s="21">
        <v>5</v>
      </c>
      <c r="B13" s="108" t="s">
        <v>99</v>
      </c>
      <c r="C13" s="107" t="s">
        <v>93</v>
      </c>
      <c r="D13" s="116">
        <v>1</v>
      </c>
      <c r="E13" s="106">
        <v>4.7399997711181641</v>
      </c>
      <c r="F13" s="20">
        <v>7.9183000000000003</v>
      </c>
      <c r="G13" s="101">
        <f t="shared" si="0"/>
        <v>37.532740187644961</v>
      </c>
      <c r="H13" s="78"/>
      <c r="I13" s="78" t="s">
        <v>94</v>
      </c>
    </row>
    <row r="14" spans="1:15" x14ac:dyDescent="0.2">
      <c r="A14" s="21">
        <v>6</v>
      </c>
      <c r="B14" s="108" t="s">
        <v>100</v>
      </c>
      <c r="C14" s="107" t="s">
        <v>93</v>
      </c>
      <c r="D14" s="116">
        <v>1</v>
      </c>
      <c r="E14" s="106">
        <v>3</v>
      </c>
      <c r="F14" s="20">
        <v>103.97750000000001</v>
      </c>
      <c r="G14" s="101">
        <f t="shared" si="0"/>
        <v>311.9325</v>
      </c>
      <c r="H14" s="78"/>
      <c r="I14" s="78"/>
    </row>
    <row r="15" spans="1:15" ht="25.5" x14ac:dyDescent="0.2">
      <c r="A15" s="21">
        <v>7</v>
      </c>
      <c r="B15" s="108" t="s">
        <v>101</v>
      </c>
      <c r="C15" s="107" t="s">
        <v>93</v>
      </c>
      <c r="D15" s="116">
        <v>1</v>
      </c>
      <c r="E15" s="106">
        <v>3</v>
      </c>
      <c r="F15" s="20">
        <v>2.3812000000000002</v>
      </c>
      <c r="G15" s="101">
        <f t="shared" si="0"/>
        <v>7.1436000000000011</v>
      </c>
      <c r="H15" s="78"/>
      <c r="I15" s="78"/>
    </row>
    <row r="16" spans="1:15" ht="25.5" x14ac:dyDescent="0.2">
      <c r="A16" s="21">
        <v>8</v>
      </c>
      <c r="B16" s="108" t="s">
        <v>102</v>
      </c>
      <c r="C16" s="107" t="s">
        <v>103</v>
      </c>
      <c r="D16" s="116">
        <v>1</v>
      </c>
      <c r="E16" s="106">
        <v>1</v>
      </c>
      <c r="F16" s="20">
        <v>1547.17</v>
      </c>
      <c r="G16" s="101">
        <f t="shared" si="0"/>
        <v>1547.17</v>
      </c>
      <c r="H16" s="78"/>
      <c r="I16" s="78"/>
    </row>
    <row r="17" spans="1:9" ht="38.25" x14ac:dyDescent="0.2">
      <c r="A17" s="21">
        <v>9</v>
      </c>
      <c r="B17" s="108" t="s">
        <v>104</v>
      </c>
      <c r="C17" s="107" t="s">
        <v>103</v>
      </c>
      <c r="D17" s="116">
        <v>1</v>
      </c>
      <c r="E17" s="106">
        <v>9.9999997473787516E-5</v>
      </c>
      <c r="F17" s="20">
        <v>14900</v>
      </c>
      <c r="G17" s="101">
        <f t="shared" si="0"/>
        <v>1.489999962359434</v>
      </c>
      <c r="H17" s="78"/>
      <c r="I17" s="78"/>
    </row>
    <row r="18" spans="1:9" ht="25.5" x14ac:dyDescent="0.2">
      <c r="A18" s="21">
        <v>10</v>
      </c>
      <c r="B18" s="108" t="s">
        <v>105</v>
      </c>
      <c r="C18" s="107" t="s">
        <v>106</v>
      </c>
      <c r="D18" s="116">
        <v>1</v>
      </c>
      <c r="E18" s="106">
        <v>200</v>
      </c>
      <c r="F18" s="20">
        <v>1.2644</v>
      </c>
      <c r="G18" s="101">
        <f t="shared" si="0"/>
        <v>252.88</v>
      </c>
      <c r="H18" s="78"/>
      <c r="I18" s="78" t="s">
        <v>94</v>
      </c>
    </row>
    <row r="19" spans="1:9" ht="25.5" x14ac:dyDescent="0.2">
      <c r="A19" s="21">
        <v>11</v>
      </c>
      <c r="B19" s="108" t="s">
        <v>107</v>
      </c>
      <c r="C19" s="107" t="s">
        <v>93</v>
      </c>
      <c r="D19" s="116">
        <v>1</v>
      </c>
      <c r="E19" s="106">
        <v>3</v>
      </c>
      <c r="F19" s="20">
        <v>1.1282000000000001</v>
      </c>
      <c r="G19" s="101">
        <f t="shared" si="0"/>
        <v>3.3846000000000003</v>
      </c>
      <c r="H19" s="78"/>
      <c r="I19" s="78" t="s">
        <v>94</v>
      </c>
    </row>
  </sheetData>
  <mergeCells count="3">
    <mergeCell ref="B1:K1"/>
    <mergeCell ref="B2:K2"/>
    <mergeCell ref="C5:I5"/>
  </mergeCells>
  <pageMargins left="0.25" right="0.25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M10"/>
  <sheetViews>
    <sheetView workbookViewId="0">
      <selection activeCell="G8" sqref="G8"/>
    </sheetView>
  </sheetViews>
  <sheetFormatPr defaultRowHeight="12.75" x14ac:dyDescent="0.2"/>
  <cols>
    <col min="1" max="1" width="6.140625" style="1" customWidth="1"/>
    <col min="2" max="2" width="57.140625" style="1" customWidth="1"/>
    <col min="3" max="3" width="15.7109375" style="1" customWidth="1"/>
    <col min="4" max="4" width="14.7109375" style="1" customWidth="1"/>
    <col min="5" max="5" width="12.7109375" style="1" customWidth="1"/>
    <col min="6" max="6" width="14.28515625" style="1" customWidth="1"/>
    <col min="7" max="7" width="11.42578125" style="1" customWidth="1"/>
    <col min="8" max="8" width="10" style="10" customWidth="1"/>
    <col min="9" max="9" width="13" style="1" customWidth="1"/>
    <col min="10" max="10" width="9.85546875" style="1" customWidth="1"/>
    <col min="11" max="11" width="16.8554687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22.5" customHeight="1" x14ac:dyDescent="0.2">
      <c r="A1" s="162" t="s">
        <v>81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22"/>
    </row>
    <row r="2" spans="1:13" ht="15.75" x14ac:dyDescent="0.2">
      <c r="A2" s="104"/>
      <c r="B2" s="34" t="s">
        <v>30</v>
      </c>
      <c r="C2" s="169" t="str">
        <f>Итог!B4</f>
        <v>A08.30.019.002</v>
      </c>
      <c r="D2" s="170"/>
      <c r="E2" s="38"/>
      <c r="F2" s="38"/>
      <c r="H2" s="1"/>
    </row>
    <row r="3" spans="1:13" ht="15.75" x14ac:dyDescent="0.2">
      <c r="A3" s="104"/>
      <c r="B3" s="37" t="s">
        <v>28</v>
      </c>
      <c r="C3" s="171" t="str">
        <f>Итог!B5</f>
        <v>Патолого-анатомическое вскрытие первой категории сложности</v>
      </c>
      <c r="D3" s="172"/>
      <c r="E3" s="172"/>
      <c r="F3" s="172"/>
      <c r="G3" s="172"/>
      <c r="H3" s="172"/>
      <c r="I3" s="172"/>
      <c r="J3" s="172"/>
      <c r="K3" s="172"/>
      <c r="L3" s="172"/>
      <c r="M3" s="173"/>
    </row>
    <row r="4" spans="1:13" ht="15.75" x14ac:dyDescent="0.2">
      <c r="A4" s="104"/>
      <c r="B4" s="37"/>
      <c r="C4" s="117"/>
      <c r="D4" s="118"/>
      <c r="E4" s="118"/>
      <c r="F4" s="118"/>
      <c r="G4" s="118"/>
      <c r="H4" s="118"/>
      <c r="I4" s="118"/>
      <c r="J4" s="118"/>
      <c r="K4" s="118"/>
      <c r="L4" s="118"/>
      <c r="M4" s="118"/>
    </row>
    <row r="5" spans="1:13" ht="128.25" thickBot="1" x14ac:dyDescent="0.25">
      <c r="A5" s="26" t="s">
        <v>1</v>
      </c>
      <c r="B5" s="26" t="s">
        <v>2</v>
      </c>
      <c r="C5" s="26" t="s">
        <v>87</v>
      </c>
      <c r="D5" s="26" t="s">
        <v>75</v>
      </c>
      <c r="E5" s="26" t="s">
        <v>74</v>
      </c>
      <c r="F5" s="26" t="s">
        <v>3</v>
      </c>
      <c r="G5" s="26" t="s">
        <v>19</v>
      </c>
      <c r="H5" s="26" t="s">
        <v>20</v>
      </c>
      <c r="I5" s="26" t="s">
        <v>82</v>
      </c>
      <c r="J5" s="26" t="s">
        <v>58</v>
      </c>
      <c r="K5" s="95" t="s">
        <v>21</v>
      </c>
      <c r="L5" s="97" t="s">
        <v>11</v>
      </c>
    </row>
    <row r="6" spans="1:13" ht="13.5" customHeight="1" thickBot="1" x14ac:dyDescent="0.25">
      <c r="A6" s="174" t="s">
        <v>22</v>
      </c>
      <c r="B6" s="175"/>
      <c r="C6" s="175"/>
      <c r="D6" s="175"/>
      <c r="E6" s="175"/>
      <c r="F6" s="175"/>
      <c r="G6" s="175"/>
      <c r="H6" s="175"/>
      <c r="I6" s="175"/>
      <c r="J6" s="176"/>
      <c r="K6" s="96">
        <f>SUM(K7:K9953)</f>
        <v>31.691914223310288</v>
      </c>
      <c r="L6" s="98"/>
    </row>
    <row r="7" spans="1:13" ht="15" x14ac:dyDescent="0.25">
      <c r="A7" s="28">
        <v>1</v>
      </c>
      <c r="B7" s="119" t="s">
        <v>108</v>
      </c>
      <c r="C7" s="120">
        <v>1</v>
      </c>
      <c r="D7" s="120">
        <v>1</v>
      </c>
      <c r="E7" s="29">
        <v>436911.47139999998</v>
      </c>
      <c r="F7" s="30">
        <v>7</v>
      </c>
      <c r="G7" s="30">
        <v>248</v>
      </c>
      <c r="H7" s="30">
        <v>360</v>
      </c>
      <c r="I7" s="30">
        <v>45</v>
      </c>
      <c r="J7" s="31">
        <f>IFERROR(H7/I7,0)</f>
        <v>8</v>
      </c>
      <c r="K7" s="31">
        <f>IF(AND(E7&gt;100000,E7&lt;1000000),D7*C7*E7/F7/G7/J7,"")</f>
        <v>31.459639357718892</v>
      </c>
      <c r="L7" s="99"/>
    </row>
    <row r="8" spans="1:13" ht="15" x14ac:dyDescent="0.25">
      <c r="A8" s="28">
        <v>2</v>
      </c>
      <c r="B8" s="119" t="s">
        <v>109</v>
      </c>
      <c r="C8" s="120">
        <v>1</v>
      </c>
      <c r="D8" s="120">
        <v>1</v>
      </c>
      <c r="E8" s="29">
        <v>16047.254000000001</v>
      </c>
      <c r="F8" s="30">
        <v>7</v>
      </c>
      <c r="G8" s="30">
        <v>248</v>
      </c>
      <c r="H8" s="30">
        <v>360</v>
      </c>
      <c r="I8" s="30">
        <v>45</v>
      </c>
      <c r="J8" s="31">
        <f>IFERROR(H8/I8,0)</f>
        <v>8</v>
      </c>
      <c r="K8" s="31" t="str">
        <f>IF(AND(E8&gt;100000,E8&lt;1000000),D8*C8*E8/F8/G8/J8,"")</f>
        <v/>
      </c>
      <c r="L8" s="99"/>
    </row>
    <row r="9" spans="1:13" ht="15" x14ac:dyDescent="0.25">
      <c r="A9" s="28">
        <v>3</v>
      </c>
      <c r="B9" s="119" t="s">
        <v>110</v>
      </c>
      <c r="C9" s="120">
        <v>1</v>
      </c>
      <c r="D9" s="120">
        <v>1</v>
      </c>
      <c r="E9" s="29">
        <v>72827.34</v>
      </c>
      <c r="F9" s="30">
        <v>7</v>
      </c>
      <c r="G9" s="30">
        <v>248</v>
      </c>
      <c r="H9" s="30">
        <v>360</v>
      </c>
      <c r="I9" s="30">
        <v>45</v>
      </c>
      <c r="J9" s="31">
        <f>IFERROR(H9/I9,0)</f>
        <v>8</v>
      </c>
      <c r="K9" s="31" t="str">
        <f>IF(AND(E9&gt;100000,E9&lt;1000000),D9*C9*E9/F9/G9/J9,"")</f>
        <v/>
      </c>
      <c r="L9" s="99"/>
    </row>
    <row r="10" spans="1:13" ht="15" x14ac:dyDescent="0.25">
      <c r="A10" s="28">
        <v>4</v>
      </c>
      <c r="B10" s="119" t="s">
        <v>111</v>
      </c>
      <c r="C10" s="120">
        <v>1</v>
      </c>
      <c r="D10" s="120">
        <v>1</v>
      </c>
      <c r="E10" s="29">
        <v>580650</v>
      </c>
      <c r="F10" s="30">
        <v>7</v>
      </c>
      <c r="G10" s="30">
        <v>248</v>
      </c>
      <c r="H10" s="30">
        <v>1440</v>
      </c>
      <c r="I10" s="30">
        <v>1</v>
      </c>
      <c r="J10" s="31">
        <f>IFERROR(H10/I10,0)</f>
        <v>1440</v>
      </c>
      <c r="K10" s="31">
        <f>IF(AND(E10&gt;100000,E10&lt;1000000),D10*C10*E10/F10/G10/J10,"")</f>
        <v>0.23227486559139787</v>
      </c>
      <c r="L10" s="99"/>
    </row>
  </sheetData>
  <mergeCells count="4">
    <mergeCell ref="A1:K1"/>
    <mergeCell ref="C2:D2"/>
    <mergeCell ref="C3:M3"/>
    <mergeCell ref="A6:J6"/>
  </mergeCells>
  <pageMargins left="0.25" right="0.25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M11"/>
  <sheetViews>
    <sheetView workbookViewId="0">
      <selection activeCell="A7" sqref="A7:J7"/>
    </sheetView>
  </sheetViews>
  <sheetFormatPr defaultRowHeight="12.75" x14ac:dyDescent="0.2"/>
  <cols>
    <col min="1" max="1" width="4.7109375" style="1" customWidth="1"/>
    <col min="2" max="2" width="57.7109375" style="1" customWidth="1"/>
    <col min="3" max="3" width="16" style="1" customWidth="1"/>
    <col min="4" max="4" width="10.28515625" style="1" customWidth="1"/>
    <col min="5" max="5" width="13.28515625" style="1" customWidth="1"/>
    <col min="6" max="6" width="14.28515625" style="1" customWidth="1"/>
    <col min="7" max="7" width="11.42578125" style="1" customWidth="1"/>
    <col min="8" max="8" width="14.5703125" style="10" customWidth="1"/>
    <col min="9" max="9" width="17.28515625" style="1" customWidth="1"/>
    <col min="10" max="10" width="17.85546875" style="1" customWidth="1"/>
    <col min="11" max="11" width="17.28515625" style="1" customWidth="1"/>
    <col min="12" max="12" width="12.140625" style="1" customWidth="1"/>
    <col min="13" max="13" width="14.28515625" style="1" customWidth="1"/>
    <col min="14" max="14" width="16.42578125" style="1" customWidth="1"/>
    <col min="15" max="15" width="17.7109375" style="1" customWidth="1"/>
    <col min="16" max="16" width="9.140625" style="1"/>
    <col min="17" max="17" width="26.42578125" style="1" customWidth="1"/>
    <col min="18" max="16384" width="9.140625" style="1"/>
  </cols>
  <sheetData>
    <row r="1" spans="1:13" ht="18.75" x14ac:dyDescent="0.3">
      <c r="B1" s="121"/>
    </row>
    <row r="2" spans="1:13" ht="15.75" x14ac:dyDescent="0.2">
      <c r="A2" s="162" t="s">
        <v>83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22"/>
    </row>
    <row r="3" spans="1:13" ht="15.75" x14ac:dyDescent="0.2">
      <c r="A3" s="104"/>
      <c r="B3" s="34" t="s">
        <v>30</v>
      </c>
      <c r="C3" s="169" t="str">
        <f>Итог!B4</f>
        <v>A08.30.019.002</v>
      </c>
      <c r="D3" s="170"/>
      <c r="E3" s="38"/>
      <c r="F3" s="38"/>
      <c r="H3" s="1"/>
    </row>
    <row r="4" spans="1:13" ht="15.75" x14ac:dyDescent="0.2">
      <c r="A4" s="104"/>
      <c r="B4" s="37" t="s">
        <v>28</v>
      </c>
      <c r="C4" s="171" t="str">
        <f>Итог!B5</f>
        <v>Патолого-анатомическое вскрытие первой категории сложности</v>
      </c>
      <c r="D4" s="172"/>
      <c r="E4" s="172"/>
      <c r="F4" s="172"/>
      <c r="G4" s="172"/>
      <c r="H4" s="172"/>
      <c r="I4" s="172"/>
      <c r="J4" s="172"/>
      <c r="K4" s="172"/>
      <c r="L4" s="172"/>
      <c r="M4" s="173"/>
    </row>
    <row r="5" spans="1:13" ht="17.25" customHeight="1" x14ac:dyDescent="0.2">
      <c r="A5" s="27"/>
      <c r="B5" s="27"/>
      <c r="H5" s="1"/>
      <c r="I5" s="10"/>
      <c r="M5" s="34" t="s">
        <v>40</v>
      </c>
    </row>
    <row r="6" spans="1:13" ht="64.5" thickBot="1" x14ac:dyDescent="0.25">
      <c r="A6" s="26" t="s">
        <v>1</v>
      </c>
      <c r="B6" s="26" t="s">
        <v>2</v>
      </c>
      <c r="C6" s="26" t="s">
        <v>87</v>
      </c>
      <c r="D6" s="26" t="s">
        <v>75</v>
      </c>
      <c r="E6" s="26" t="s">
        <v>74</v>
      </c>
      <c r="F6" s="26" t="s">
        <v>3</v>
      </c>
      <c r="G6" s="26" t="s">
        <v>19</v>
      </c>
      <c r="H6" s="26" t="s">
        <v>20</v>
      </c>
      <c r="I6" s="26" t="s">
        <v>82</v>
      </c>
      <c r="J6" s="26" t="s">
        <v>58</v>
      </c>
      <c r="K6" s="95" t="s">
        <v>21</v>
      </c>
      <c r="L6" s="97" t="s">
        <v>11</v>
      </c>
    </row>
    <row r="7" spans="1:13" ht="13.5" customHeight="1" thickBot="1" x14ac:dyDescent="0.25">
      <c r="A7" s="174" t="s">
        <v>22</v>
      </c>
      <c r="B7" s="175"/>
      <c r="C7" s="175"/>
      <c r="D7" s="175"/>
      <c r="E7" s="175"/>
      <c r="F7" s="175"/>
      <c r="G7" s="175"/>
      <c r="H7" s="175"/>
      <c r="I7" s="175"/>
      <c r="J7" s="176"/>
      <c r="K7" s="96">
        <f>SUM(K8:K19987)</f>
        <v>31.820221568343936</v>
      </c>
      <c r="L7" s="98"/>
    </row>
    <row r="8" spans="1:13" ht="15" x14ac:dyDescent="0.25">
      <c r="A8" s="28">
        <v>1</v>
      </c>
      <c r="B8" s="119" t="s">
        <v>108</v>
      </c>
      <c r="C8" s="120">
        <v>1</v>
      </c>
      <c r="D8" s="120">
        <v>1</v>
      </c>
      <c r="E8" s="29">
        <v>436911.47139999998</v>
      </c>
      <c r="F8" s="30">
        <v>7</v>
      </c>
      <c r="G8" s="30">
        <v>247</v>
      </c>
      <c r="H8" s="30">
        <v>360</v>
      </c>
      <c r="I8" s="30">
        <v>45</v>
      </c>
      <c r="J8" s="31">
        <f>IFERROR(H8/I8,0)</f>
        <v>8</v>
      </c>
      <c r="K8" s="31">
        <f>IF(E8&gt;100000,(D8*C8*E8/F8/G8/J8),"")</f>
        <v>31.587006318681318</v>
      </c>
      <c r="L8" s="99"/>
    </row>
    <row r="9" spans="1:13" ht="15" x14ac:dyDescent="0.25">
      <c r="A9" s="28">
        <v>2</v>
      </c>
      <c r="B9" s="119" t="s">
        <v>109</v>
      </c>
      <c r="C9" s="120">
        <v>1</v>
      </c>
      <c r="D9" s="120">
        <v>1</v>
      </c>
      <c r="E9" s="29">
        <v>16047.254000000001</v>
      </c>
      <c r="F9" s="30">
        <v>7</v>
      </c>
      <c r="G9" s="30">
        <v>247</v>
      </c>
      <c r="H9" s="30">
        <v>360</v>
      </c>
      <c r="I9" s="30">
        <v>45</v>
      </c>
      <c r="J9" s="31">
        <f>IFERROR(H9/I9,0)</f>
        <v>8</v>
      </c>
      <c r="K9" s="31" t="str">
        <f>IF(E9&gt;100000,(D9*C9*E9/F9/G9/J9),"")</f>
        <v/>
      </c>
      <c r="L9" s="99"/>
    </row>
    <row r="10" spans="1:13" ht="15" x14ac:dyDescent="0.25">
      <c r="A10" s="28">
        <v>3</v>
      </c>
      <c r="B10" s="119" t="s">
        <v>110</v>
      </c>
      <c r="C10" s="120">
        <v>1</v>
      </c>
      <c r="D10" s="120">
        <v>1</v>
      </c>
      <c r="E10" s="29">
        <v>72827.34</v>
      </c>
      <c r="F10" s="30">
        <v>7</v>
      </c>
      <c r="G10" s="30">
        <v>247</v>
      </c>
      <c r="H10" s="30">
        <v>360</v>
      </c>
      <c r="I10" s="30">
        <v>45</v>
      </c>
      <c r="J10" s="31">
        <f>IFERROR(H10/I10,0)</f>
        <v>8</v>
      </c>
      <c r="K10" s="31" t="str">
        <f>IF(E10&gt;100000,(D10*C10*E10/F10/G10/J10),"")</f>
        <v/>
      </c>
      <c r="L10" s="99"/>
    </row>
    <row r="11" spans="1:13" ht="15" x14ac:dyDescent="0.25">
      <c r="A11" s="28">
        <v>4</v>
      </c>
      <c r="B11" s="119" t="s">
        <v>111</v>
      </c>
      <c r="C11" s="120">
        <v>1</v>
      </c>
      <c r="D11" s="120">
        <v>1</v>
      </c>
      <c r="E11" s="29">
        <v>580650</v>
      </c>
      <c r="F11" s="30">
        <v>7</v>
      </c>
      <c r="G11" s="30">
        <v>247</v>
      </c>
      <c r="H11" s="30">
        <v>1440</v>
      </c>
      <c r="I11" s="30">
        <v>1</v>
      </c>
      <c r="J11" s="31">
        <f>IFERROR(H11/I11,0)</f>
        <v>1440</v>
      </c>
      <c r="K11" s="31">
        <f>IF(E11&gt;100000,(D11*C11*E11/F11/G11/J11),"")</f>
        <v>0.23321524966261806</v>
      </c>
      <c r="L11" s="99"/>
    </row>
  </sheetData>
  <mergeCells count="4">
    <mergeCell ref="A2:K2"/>
    <mergeCell ref="C3:D3"/>
    <mergeCell ref="C4:M4"/>
    <mergeCell ref="A7:J7"/>
  </mergeCells>
  <pageMargins left="0.25" right="0.25" top="0.75" bottom="0.75" header="0.3" footer="0.3"/>
  <pageSetup paperSize="9" scale="6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K5"/>
  <sheetViews>
    <sheetView workbookViewId="0">
      <selection activeCell="J5" sqref="J5"/>
    </sheetView>
  </sheetViews>
  <sheetFormatPr defaultRowHeight="12.75" x14ac:dyDescent="0.2"/>
  <cols>
    <col min="1" max="1" width="28" style="17" customWidth="1"/>
    <col min="2" max="2" width="26.140625" style="17" customWidth="1"/>
    <col min="3" max="3" width="16.28515625" style="17" customWidth="1"/>
    <col min="4" max="4" width="17.42578125" style="17" customWidth="1"/>
    <col min="5" max="5" width="19.42578125" style="17" customWidth="1"/>
    <col min="6" max="6" width="15.7109375" style="17" customWidth="1"/>
    <col min="7" max="7" width="11.85546875" style="17" customWidth="1"/>
    <col min="8" max="8" width="16" style="17" customWidth="1"/>
    <col min="9" max="9" width="17.42578125" style="17" customWidth="1"/>
    <col min="10" max="10" width="18.140625" style="17" customWidth="1"/>
    <col min="11" max="16384" width="9.140625" style="17"/>
  </cols>
  <sheetData>
    <row r="1" spans="1:11" s="5" customFormat="1" ht="21" customHeight="1" x14ac:dyDescent="0.25">
      <c r="A1" s="177" t="s">
        <v>55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1" s="1" customFormat="1" ht="23.25" customHeight="1" x14ac:dyDescent="0.2">
      <c r="A2" s="16"/>
      <c r="J2" s="34" t="s">
        <v>25</v>
      </c>
    </row>
    <row r="3" spans="1:11" ht="76.5" x14ac:dyDescent="0.2">
      <c r="A3" s="100" t="s">
        <v>8</v>
      </c>
      <c r="B3" s="100" t="s">
        <v>9</v>
      </c>
      <c r="C3" s="100" t="s">
        <v>4</v>
      </c>
      <c r="D3" s="100" t="s">
        <v>5</v>
      </c>
      <c r="E3" s="100" t="s">
        <v>6</v>
      </c>
      <c r="F3" s="100" t="s">
        <v>17</v>
      </c>
      <c r="G3" s="102" t="s">
        <v>10</v>
      </c>
      <c r="H3" s="100" t="s">
        <v>53</v>
      </c>
      <c r="I3" s="100" t="s">
        <v>18</v>
      </c>
      <c r="J3" s="100" t="s">
        <v>54</v>
      </c>
      <c r="K3" s="100" t="s">
        <v>79</v>
      </c>
    </row>
    <row r="4" spans="1:11" ht="15" customHeight="1" x14ac:dyDescent="0.2">
      <c r="A4" s="178" t="s">
        <v>23</v>
      </c>
      <c r="B4" s="179"/>
      <c r="C4" s="179"/>
      <c r="D4" s="179"/>
      <c r="E4" s="179"/>
      <c r="F4" s="179"/>
      <c r="G4" s="179"/>
      <c r="H4" s="179"/>
      <c r="I4" s="180"/>
      <c r="J4" s="122">
        <f>SUM(J5:J20000)</f>
        <v>0</v>
      </c>
      <c r="K4" s="123"/>
    </row>
    <row r="5" spans="1:11" x14ac:dyDescent="0.2">
      <c r="A5" s="18"/>
      <c r="B5" s="9"/>
      <c r="C5" s="9"/>
      <c r="D5" s="9"/>
      <c r="E5" s="6"/>
      <c r="F5" s="9"/>
      <c r="G5" s="19"/>
      <c r="H5" s="9"/>
      <c r="I5" s="20"/>
      <c r="J5" s="103">
        <f>G5*H5*I5</f>
        <v>0</v>
      </c>
      <c r="K5" s="9"/>
    </row>
  </sheetData>
  <mergeCells count="2">
    <mergeCell ref="A1:J1"/>
    <mergeCell ref="A4:I4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Итог</vt:lpstr>
      <vt:lpstr>ФОТ основного персонала</vt:lpstr>
      <vt:lpstr>расходные материалы</vt:lpstr>
      <vt:lpstr>амортизация_КСГ</vt:lpstr>
      <vt:lpstr>амортизация_ВМП</vt:lpstr>
      <vt:lpstr>лекарственные препараты</vt:lpstr>
      <vt:lpstr>k_nakl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М. Мазуров</dc:creator>
  <cp:lastModifiedBy>malkovp@yandex.ru</cp:lastModifiedBy>
  <cp:lastPrinted>2022-02-22T13:19:14Z</cp:lastPrinted>
  <dcterms:created xsi:type="dcterms:W3CDTF">2015-06-05T18:19:34Z</dcterms:created>
  <dcterms:modified xsi:type="dcterms:W3CDTF">2025-09-23T07:59:30Z</dcterms:modified>
</cp:coreProperties>
</file>